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6360" windowWidth="15480" windowHeight="6420" tabRatio="453" activeTab="1"/>
  </bookViews>
  <sheets>
    <sheet name="érték" sheetId="1" r:id="rId1"/>
    <sheet name="volumen" sheetId="2" r:id="rId2"/>
  </sheets>
  <definedNames>
    <definedName name="_xlnm.Print_Area" localSheetId="0">érték!$A$1:$M$47</definedName>
    <definedName name="_xlnm.Print_Area" localSheetId="1">volumen!$A$1:$M$47</definedName>
  </definedNames>
  <calcPr calcId="125725"/>
</workbook>
</file>

<file path=xl/calcChain.xml><?xml version="1.0" encoding="utf-8"?>
<calcChain xmlns="http://schemas.openxmlformats.org/spreadsheetml/2006/main">
  <c r="K37" i="2"/>
  <c r="L37"/>
  <c r="M37"/>
  <c r="K38"/>
  <c r="L38"/>
  <c r="M38"/>
  <c r="K39"/>
  <c r="L39"/>
  <c r="M39"/>
  <c r="K40"/>
  <c r="L40"/>
  <c r="M40"/>
  <c r="M21" i="1"/>
  <c r="M15"/>
  <c r="L21"/>
  <c r="L15"/>
  <c r="L37" s="1"/>
  <c r="K21"/>
  <c r="K15"/>
  <c r="L40" l="1"/>
  <c r="M39"/>
  <c r="K39"/>
  <c r="L38"/>
  <c r="M37"/>
  <c r="K37"/>
  <c r="M40"/>
  <c r="K40"/>
  <c r="L39"/>
  <c r="M38"/>
  <c r="K38"/>
  <c r="K20" i="2"/>
  <c r="K41" s="1"/>
  <c r="L20"/>
  <c r="L41" s="1"/>
  <c r="M20"/>
  <c r="M41" s="1"/>
  <c r="K41" i="1"/>
  <c r="L41"/>
  <c r="M41"/>
  <c r="J37" i="2" l="1"/>
  <c r="J38"/>
  <c r="J39"/>
  <c r="J40"/>
  <c r="J21" i="1"/>
  <c r="J20" i="2"/>
  <c r="J41" s="1"/>
  <c r="I20"/>
  <c r="J15" i="1"/>
  <c r="J38" s="1"/>
  <c r="J7"/>
  <c r="J9"/>
  <c r="J10"/>
  <c r="J11"/>
  <c r="J12"/>
  <c r="J13"/>
  <c r="H13"/>
  <c r="H12"/>
  <c r="H11"/>
  <c r="H10"/>
  <c r="H9"/>
  <c r="H8"/>
  <c r="H7"/>
  <c r="H6"/>
  <c r="H37" i="2"/>
  <c r="I37"/>
  <c r="H38"/>
  <c r="I38"/>
  <c r="H39"/>
  <c r="I39"/>
  <c r="H40"/>
  <c r="I40"/>
  <c r="I41"/>
  <c r="H20"/>
  <c r="H41" s="1"/>
  <c r="H21" i="1"/>
  <c r="I21"/>
  <c r="J39" l="1"/>
  <c r="J37"/>
  <c r="J41"/>
  <c r="J40"/>
  <c r="I15"/>
  <c r="H15"/>
  <c r="H14" l="1"/>
  <c r="H37"/>
  <c r="H38"/>
  <c r="H39"/>
  <c r="H40"/>
  <c r="H41"/>
  <c r="I37"/>
  <c r="I38"/>
  <c r="I39"/>
  <c r="I40"/>
  <c r="I41"/>
  <c r="H6" i="2"/>
  <c r="J6"/>
  <c r="K6"/>
  <c r="L6"/>
  <c r="H14"/>
  <c r="I14"/>
  <c r="J14"/>
  <c r="K14"/>
  <c r="L14"/>
  <c r="I14" i="1"/>
  <c r="J14"/>
  <c r="K14"/>
  <c r="L14"/>
  <c r="L42" l="1"/>
  <c r="L36"/>
  <c r="H36"/>
  <c r="H42"/>
  <c r="K36"/>
  <c r="K42"/>
  <c r="K35" i="2"/>
  <c r="K36"/>
  <c r="K42"/>
  <c r="L22"/>
  <c r="L28"/>
  <c r="L30"/>
  <c r="L32"/>
  <c r="L34"/>
  <c r="L27"/>
  <c r="L43" s="1"/>
  <c r="L29"/>
  <c r="L31"/>
  <c r="L33"/>
  <c r="L36"/>
  <c r="L35"/>
  <c r="L42"/>
  <c r="K29"/>
  <c r="K31"/>
  <c r="K33"/>
  <c r="K28"/>
  <c r="K30"/>
  <c r="K32"/>
  <c r="K34"/>
  <c r="K22"/>
  <c r="K27" s="1"/>
  <c r="K43" s="1"/>
  <c r="I36"/>
  <c r="I42"/>
  <c r="J28"/>
  <c r="J30"/>
  <c r="J32"/>
  <c r="J34"/>
  <c r="J29"/>
  <c r="J31"/>
  <c r="J33"/>
  <c r="J22"/>
  <c r="J27" s="1"/>
  <c r="J36"/>
  <c r="J35"/>
  <c r="J42"/>
  <c r="H42"/>
  <c r="H36"/>
  <c r="J36" i="1"/>
  <c r="J42"/>
  <c r="I42"/>
  <c r="I36"/>
  <c r="H22" i="2"/>
  <c r="H35" s="1"/>
  <c r="H28"/>
  <c r="H29"/>
  <c r="H30"/>
  <c r="H31"/>
  <c r="H32"/>
  <c r="H33"/>
  <c r="H34"/>
  <c r="I6"/>
  <c r="B6"/>
  <c r="J43" l="1"/>
  <c r="I29"/>
  <c r="I31"/>
  <c r="I33"/>
  <c r="I28"/>
  <c r="I30"/>
  <c r="I32"/>
  <c r="I34"/>
  <c r="H27"/>
  <c r="H43" s="1"/>
  <c r="G13" i="1"/>
  <c r="G12"/>
  <c r="G11"/>
  <c r="G10"/>
  <c r="G9"/>
  <c r="G8"/>
  <c r="G7"/>
  <c r="F13"/>
  <c r="F12"/>
  <c r="F11"/>
  <c r="F10"/>
  <c r="F9"/>
  <c r="F8"/>
  <c r="F7"/>
  <c r="E13"/>
  <c r="E12"/>
  <c r="E11"/>
  <c r="E10"/>
  <c r="E9"/>
  <c r="E8"/>
  <c r="E7"/>
  <c r="E13" i="2"/>
  <c r="E12"/>
  <c r="E11"/>
  <c r="E10"/>
  <c r="E9"/>
  <c r="E8"/>
  <c r="E7"/>
  <c r="G21" i="1"/>
  <c r="F21"/>
  <c r="F20" i="2" l="1"/>
  <c r="G20"/>
  <c r="E21" i="1"/>
  <c r="G15"/>
  <c r="F15"/>
  <c r="E20" i="2" l="1"/>
  <c r="E15" i="1" l="1"/>
  <c r="B14" i="2" l="1"/>
  <c r="B22" s="1"/>
  <c r="D14"/>
  <c r="E14" i="1"/>
  <c r="F14"/>
  <c r="G14"/>
  <c r="M14"/>
  <c r="M42" l="1"/>
  <c r="M36"/>
  <c r="G6" i="2"/>
  <c r="C6"/>
  <c r="D6"/>
  <c r="B6" i="1"/>
  <c r="C6"/>
  <c r="D6"/>
  <c r="D21" l="1"/>
  <c r="C21"/>
  <c r="B21"/>
  <c r="B20" i="2"/>
  <c r="C20"/>
  <c r="D20"/>
  <c r="D15" i="1"/>
  <c r="C15"/>
  <c r="B15"/>
  <c r="C37" l="1"/>
  <c r="C14"/>
  <c r="C22" s="1"/>
  <c r="B37"/>
  <c r="B14"/>
  <c r="B22" s="1"/>
  <c r="D37"/>
  <c r="D14"/>
  <c r="M14" i="2"/>
  <c r="M36" l="1"/>
  <c r="M42"/>
  <c r="M6" i="1"/>
  <c r="M6" i="2"/>
  <c r="K6" i="1"/>
  <c r="K28" l="1"/>
  <c r="K30"/>
  <c r="K32"/>
  <c r="K34"/>
  <c r="K27"/>
  <c r="K43" s="1"/>
  <c r="K29"/>
  <c r="K31"/>
  <c r="K33"/>
  <c r="M28"/>
  <c r="M30"/>
  <c r="M32"/>
  <c r="M34"/>
  <c r="M29"/>
  <c r="M31"/>
  <c r="M33"/>
  <c r="M29" i="2"/>
  <c r="M31"/>
  <c r="M33"/>
  <c r="M28"/>
  <c r="M30"/>
  <c r="M32"/>
  <c r="M34"/>
  <c r="M22"/>
  <c r="M35" s="1"/>
  <c r="M22" i="1"/>
  <c r="M35" s="1"/>
  <c r="K22"/>
  <c r="K35" s="1"/>
  <c r="L6"/>
  <c r="L29" l="1"/>
  <c r="L31"/>
  <c r="L33"/>
  <c r="L28"/>
  <c r="L30"/>
  <c r="L32"/>
  <c r="L34"/>
  <c r="M27"/>
  <c r="M43" s="1"/>
  <c r="M27" i="2"/>
  <c r="M43" s="1"/>
  <c r="L22" i="1"/>
  <c r="L35" s="1"/>
  <c r="L27" l="1"/>
  <c r="L43" s="1"/>
  <c r="J6"/>
  <c r="G41"/>
  <c r="C40"/>
  <c r="D40"/>
  <c r="E40"/>
  <c r="C39"/>
  <c r="D39"/>
  <c r="E39"/>
  <c r="E37"/>
  <c r="F37"/>
  <c r="G37"/>
  <c r="G28" i="2"/>
  <c r="G29"/>
  <c r="G30"/>
  <c r="G31"/>
  <c r="G32"/>
  <c r="G33"/>
  <c r="G34"/>
  <c r="G37"/>
  <c r="G38"/>
  <c r="G39"/>
  <c r="G40"/>
  <c r="C28"/>
  <c r="D28"/>
  <c r="C29"/>
  <c r="D29"/>
  <c r="C30"/>
  <c r="D30"/>
  <c r="C31"/>
  <c r="D31"/>
  <c r="C32"/>
  <c r="D32"/>
  <c r="C33"/>
  <c r="D33"/>
  <c r="C34"/>
  <c r="D34"/>
  <c r="C37"/>
  <c r="D37"/>
  <c r="E37"/>
  <c r="F37"/>
  <c r="C38"/>
  <c r="D38"/>
  <c r="E38"/>
  <c r="F38"/>
  <c r="C39"/>
  <c r="D39"/>
  <c r="E39"/>
  <c r="F39"/>
  <c r="C40"/>
  <c r="D40"/>
  <c r="E40"/>
  <c r="F40"/>
  <c r="B37"/>
  <c r="B30"/>
  <c r="B28"/>
  <c r="C38" i="1"/>
  <c r="D38"/>
  <c r="E38"/>
  <c r="F38"/>
  <c r="G38"/>
  <c r="F39"/>
  <c r="G39"/>
  <c r="F40"/>
  <c r="G40"/>
  <c r="C29"/>
  <c r="D32"/>
  <c r="D30"/>
  <c r="D29"/>
  <c r="B33"/>
  <c r="B29"/>
  <c r="B30"/>
  <c r="B31"/>
  <c r="B28"/>
  <c r="B32"/>
  <c r="D28"/>
  <c r="C28"/>
  <c r="C33"/>
  <c r="D33"/>
  <c r="C32"/>
  <c r="C31"/>
  <c r="C34"/>
  <c r="D34"/>
  <c r="F41"/>
  <c r="E41"/>
  <c r="D41"/>
  <c r="C41"/>
  <c r="G36"/>
  <c r="E36"/>
  <c r="D36"/>
  <c r="C42"/>
  <c r="I6"/>
  <c r="G6"/>
  <c r="G31" s="1"/>
  <c r="F6"/>
  <c r="F33" s="1"/>
  <c r="E6"/>
  <c r="E22" s="1"/>
  <c r="E35" s="1"/>
  <c r="F42"/>
  <c r="F36"/>
  <c r="C36"/>
  <c r="G42"/>
  <c r="E42"/>
  <c r="D22"/>
  <c r="C27"/>
  <c r="B40" i="2"/>
  <c r="B39"/>
  <c r="B38"/>
  <c r="B34"/>
  <c r="B33"/>
  <c r="B32"/>
  <c r="B31"/>
  <c r="B29"/>
  <c r="G41"/>
  <c r="F41"/>
  <c r="E41"/>
  <c r="D41"/>
  <c r="C41"/>
  <c r="B41"/>
  <c r="G14"/>
  <c r="G36" s="1"/>
  <c r="F14"/>
  <c r="F36" s="1"/>
  <c r="E14"/>
  <c r="E36" s="1"/>
  <c r="D42"/>
  <c r="C14"/>
  <c r="C36" s="1"/>
  <c r="B36"/>
  <c r="F6"/>
  <c r="F31" s="1"/>
  <c r="E6"/>
  <c r="D36"/>
  <c r="F42"/>
  <c r="E29"/>
  <c r="E30"/>
  <c r="E31"/>
  <c r="E32"/>
  <c r="E33"/>
  <c r="E34"/>
  <c r="D22"/>
  <c r="D35" s="1"/>
  <c r="E29" i="1"/>
  <c r="C30"/>
  <c r="D31"/>
  <c r="B34"/>
  <c r="E33" l="1"/>
  <c r="F34" i="2"/>
  <c r="F29"/>
  <c r="E22"/>
  <c r="F30"/>
  <c r="G22"/>
  <c r="G27" s="1"/>
  <c r="G42"/>
  <c r="J22" i="1"/>
  <c r="J35" s="1"/>
  <c r="J28"/>
  <c r="J30"/>
  <c r="J32"/>
  <c r="J34"/>
  <c r="J27"/>
  <c r="J43" s="1"/>
  <c r="J29"/>
  <c r="J31"/>
  <c r="J33"/>
  <c r="G22"/>
  <c r="G27" s="1"/>
  <c r="I28"/>
  <c r="I30"/>
  <c r="I32"/>
  <c r="I34"/>
  <c r="I29"/>
  <c r="I31"/>
  <c r="I33"/>
  <c r="H29"/>
  <c r="H30"/>
  <c r="H31"/>
  <c r="H32"/>
  <c r="H33"/>
  <c r="H34"/>
  <c r="H28"/>
  <c r="H22"/>
  <c r="H35" s="1"/>
  <c r="I22" i="2"/>
  <c r="D27" i="1"/>
  <c r="E34"/>
  <c r="E31"/>
  <c r="G33"/>
  <c r="F33" i="2"/>
  <c r="G30" i="1"/>
  <c r="G28"/>
  <c r="G32"/>
  <c r="G34"/>
  <c r="G29"/>
  <c r="F22"/>
  <c r="F27" s="1"/>
  <c r="F29"/>
  <c r="F35"/>
  <c r="F34"/>
  <c r="F30"/>
  <c r="F31"/>
  <c r="F32"/>
  <c r="F28"/>
  <c r="F32" i="2"/>
  <c r="F28"/>
  <c r="E27" i="1"/>
  <c r="E43" s="1"/>
  <c r="E28" i="2"/>
  <c r="E30" i="1"/>
  <c r="E32"/>
  <c r="E28"/>
  <c r="G35"/>
  <c r="G43" s="1"/>
  <c r="F22" i="2"/>
  <c r="E42"/>
  <c r="G35"/>
  <c r="G43" s="1"/>
  <c r="D27"/>
  <c r="D43" s="1"/>
  <c r="B27"/>
  <c r="C42"/>
  <c r="B42"/>
  <c r="D42" i="1"/>
  <c r="D35"/>
  <c r="D43" s="1"/>
  <c r="C35"/>
  <c r="C43" s="1"/>
  <c r="C22" i="2"/>
  <c r="F43" i="1" l="1"/>
  <c r="E35" i="2"/>
  <c r="E27"/>
  <c r="E43" s="1"/>
  <c r="I35"/>
  <c r="I27"/>
  <c r="I43" s="1"/>
  <c r="H27" i="1"/>
  <c r="H43" s="1"/>
  <c r="F35" i="2"/>
  <c r="F27"/>
  <c r="B35"/>
  <c r="B43" s="1"/>
  <c r="C27"/>
  <c r="C35"/>
  <c r="B39" i="1"/>
  <c r="B38"/>
  <c r="B40"/>
  <c r="B41"/>
  <c r="B42"/>
  <c r="C43" i="2" l="1"/>
  <c r="F43"/>
  <c r="B36" i="1"/>
  <c r="B35" l="1"/>
  <c r="B27"/>
  <c r="B43" s="1"/>
  <c r="I22" l="1"/>
  <c r="I35" l="1"/>
  <c r="I27"/>
  <c r="I43" s="1"/>
</calcChain>
</file>

<file path=xl/sharedStrings.xml><?xml version="1.0" encoding="utf-8"?>
<sst xmlns="http://schemas.openxmlformats.org/spreadsheetml/2006/main" count="134" uniqueCount="56">
  <si>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</si>
  <si>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</si>
  <si>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</si>
  <si>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</si>
  <si>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</si>
  <si>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</si>
  <si>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</si>
  <si>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</si>
  <si>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</si>
  <si>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</si>
  <si>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július</t>
  </si>
  <si>
    <t xml:space="preserve">Bankközi Klíring Rendszer </t>
  </si>
  <si>
    <t xml:space="preserve">      - egyszerű átutalások</t>
  </si>
  <si>
    <t xml:space="preserve">      - csoportos átutalások</t>
  </si>
  <si>
    <t xml:space="preserve">      - csoportos beszedések</t>
  </si>
  <si>
    <t xml:space="preserve">      - egyéb megbízások</t>
  </si>
  <si>
    <t xml:space="preserve">      - visszautalások (reject tételek)</t>
  </si>
  <si>
    <t>MNB forgalom</t>
  </si>
  <si>
    <t xml:space="preserve">     - VIBER tételek (**)</t>
  </si>
  <si>
    <t xml:space="preserve">      - Egyéb nem valós idejű tételek (**)</t>
  </si>
  <si>
    <t>(*) A Bankközi Klíring Rendszer %-ában</t>
  </si>
  <si>
    <t>(**) MNB forgalom %-ában</t>
  </si>
  <si>
    <t>(***) A VIBER tételek %-ában</t>
  </si>
  <si>
    <t>augusztus</t>
  </si>
  <si>
    <t xml:space="preserve">      - Egyéb nem valós idejű tételek</t>
  </si>
  <si>
    <t xml:space="preserve">     - VIBER tételek</t>
  </si>
  <si>
    <t xml:space="preserve">Bankközi fizetési rendszerekben lebonyolított forgalom </t>
  </si>
  <si>
    <t>Érték szerinti megoszlás (%)</t>
  </si>
  <si>
    <t xml:space="preserve">      ebből(*): - egyszerű átutalások </t>
  </si>
  <si>
    <t xml:space="preserve">                    - csoportos átutalások</t>
  </si>
  <si>
    <t xml:space="preserve">                    - csoportos beszedések</t>
  </si>
  <si>
    <t xml:space="preserve">                    - egyéb megbízások</t>
  </si>
  <si>
    <t xml:space="preserve">                   -  visszautalások (reject tételek)</t>
  </si>
  <si>
    <t xml:space="preserve">            - DVP tételek</t>
  </si>
  <si>
    <t xml:space="preserve">            - ügyfél tételek </t>
  </si>
  <si>
    <t xml:space="preserve">            - egyéb tételek</t>
  </si>
  <si>
    <t xml:space="preserve">            - bankközi átutalások </t>
  </si>
  <si>
    <t xml:space="preserve">            ebből (***) - bankközi átutalások</t>
  </si>
  <si>
    <t xml:space="preserve">                            - ügyfél tételek</t>
  </si>
  <si>
    <t xml:space="preserve">                            - egyéb tételek</t>
  </si>
  <si>
    <t xml:space="preserve">                            - DVP tételek </t>
  </si>
  <si>
    <t>Darabszám szerinti megoszlás (%)</t>
  </si>
  <si>
    <t>Bankközi fizetési rendszerekben lebonyolított forgalom volumene</t>
  </si>
  <si>
    <t>Érték (millió Ft)</t>
  </si>
  <si>
    <t>Mennyiség (db)</t>
  </si>
  <si>
    <t>Bankközi fizetési rendszerek összesen</t>
  </si>
  <si>
    <t xml:space="preserve">      - postai kifizetési utalványok</t>
  </si>
  <si>
    <t xml:space="preserve">                    - postai kifizetési utalványok</t>
  </si>
  <si>
    <t xml:space="preserve">             - MNB kötvény</t>
  </si>
  <si>
    <t xml:space="preserve">                             - MNB kötvény</t>
  </si>
  <si>
    <t xml:space="preserve">                            -  egyéb tételek</t>
  </si>
  <si>
    <t>2012.</t>
  </si>
  <si>
    <t xml:space="preserve">                    - bankközi átutalások (a)</t>
  </si>
  <si>
    <t xml:space="preserve">      - bankközi átutalások (a)</t>
  </si>
  <si>
    <t>(a) 2012. júliusától bevezetett napközbeni elszámolásban teljesült értékeket az egyszerű átutalások tartalmazzák.</t>
  </si>
  <si>
    <t>(a) 2012. júliusától bevezetett napközbeni elszámolásban teljesült volumeneket az egyszerű átutalások tartalmazzák.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</si>
</sst>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_-* #,##0.0000\ _F_t_-;\-* #,##0.0000\ _F_t_-;_-* &quot;-&quot;??\ _F_t_-;_-@_-"/>
    <numFmt numFmtId="167" formatCode="#,##0.0000_ ;\-#,##0.0000\ "/>
  </numFmts>
  <fonts count="20">
    <font>
      <sz val="10"/>
      <color indexed="12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3" fontId="7" fillId="0" borderId="1" xfId="1" applyFont="1" applyFill="1" applyBorder="1" applyAlignment="1">
      <alignment horizontal="left"/>
    </xf>
    <xf numFmtId="164" fontId="11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164" fontId="14" fillId="0" borderId="0" xfId="1" applyNumberFormat="1" applyFont="1" applyFill="1" applyBorder="1"/>
    <xf numFmtId="164" fontId="14" fillId="0" borderId="0" xfId="1" applyNumberFormat="1" applyFont="1" applyFill="1" applyBorder="1" applyAlignment="1">
      <alignment horizontal="left" indent="2"/>
    </xf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left" indent="2"/>
    </xf>
    <xf numFmtId="164" fontId="1" fillId="0" borderId="0" xfId="0" applyNumberFormat="1" applyFont="1" applyFill="1" applyBorder="1"/>
    <xf numFmtId="164" fontId="1" fillId="0" borderId="1" xfId="1" applyNumberFormat="1" applyFont="1" applyFill="1" applyBorder="1"/>
    <xf numFmtId="0" fontId="1" fillId="0" borderId="0" xfId="0" applyFont="1" applyFill="1" applyBorder="1"/>
    <xf numFmtId="43" fontId="1" fillId="0" borderId="1" xfId="1" applyFont="1" applyFill="1" applyBorder="1" applyAlignment="1"/>
    <xf numFmtId="0" fontId="0" fillId="0" borderId="0" xfId="0" applyBorder="1" applyAlignment="1"/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/>
    <xf numFmtId="164" fontId="15" fillId="0" borderId="0" xfId="1" applyNumberFormat="1" applyFont="1" applyFill="1" applyBorder="1" applyAlignment="1">
      <alignment horizontal="center"/>
    </xf>
    <xf numFmtId="49" fontId="15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14" fillId="0" borderId="0" xfId="1" applyFont="1" applyFill="1" applyBorder="1" applyAlignment="1"/>
    <xf numFmtId="43" fontId="1" fillId="0" borderId="0" xfId="1" applyFont="1" applyFill="1" applyBorder="1" applyAlignment="1"/>
    <xf numFmtId="164" fontId="13" fillId="0" borderId="0" xfId="1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164" fontId="3" fillId="0" borderId="0" xfId="1" applyNumberFormat="1" applyFont="1" applyFill="1" applyBorder="1" applyAlignment="1">
      <alignment horizontal="left" indent="2"/>
    </xf>
    <xf numFmtId="164" fontId="11" fillId="0" borderId="0" xfId="0" applyNumberFormat="1" applyFont="1" applyFill="1" applyBorder="1"/>
    <xf numFmtId="0" fontId="4" fillId="0" borderId="0" xfId="0" applyFont="1" applyFill="1" applyBorder="1"/>
    <xf numFmtId="3" fontId="10" fillId="0" borderId="0" xfId="0" applyNumberFormat="1" applyFont="1" applyFill="1" applyBorder="1"/>
    <xf numFmtId="164" fontId="14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/>
    <xf numFmtId="164" fontId="11" fillId="0" borderId="0" xfId="1" applyNumberFormat="1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6" fontId="11" fillId="0" borderId="0" xfId="1" applyNumberFormat="1" applyFont="1" applyFill="1" applyBorder="1"/>
    <xf numFmtId="165" fontId="11" fillId="0" borderId="0" xfId="0" applyNumberFormat="1" applyFont="1" applyFill="1" applyBorder="1"/>
    <xf numFmtId="166" fontId="1" fillId="0" borderId="0" xfId="1" applyNumberFormat="1" applyFont="1" applyFill="1" applyBorder="1"/>
    <xf numFmtId="43" fontId="1" fillId="0" borderId="0" xfId="1" applyFont="1" applyFill="1" applyBorder="1"/>
    <xf numFmtId="43" fontId="11" fillId="0" borderId="0" xfId="1" applyFont="1" applyFill="1" applyBorder="1"/>
    <xf numFmtId="43" fontId="7" fillId="0" borderId="0" xfId="1" applyFont="1" applyFill="1" applyBorder="1" applyAlignment="1">
      <alignment horizontal="left"/>
    </xf>
    <xf numFmtId="43" fontId="3" fillId="0" borderId="0" xfId="1" applyFont="1" applyFill="1" applyBorder="1" applyAlignment="1"/>
    <xf numFmtId="43" fontId="5" fillId="0" borderId="0" xfId="0" applyNumberFormat="1" applyFont="1" applyFill="1" applyBorder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/>
    <xf numFmtId="0" fontId="14" fillId="0" borderId="0" xfId="0" applyFont="1" applyFill="1" applyBorder="1"/>
    <xf numFmtId="43" fontId="1" fillId="0" borderId="0" xfId="0" applyNumberFormat="1" applyFont="1" applyFill="1" applyBorder="1" applyAlignment="1"/>
    <xf numFmtId="43" fontId="1" fillId="0" borderId="0" xfId="0" applyNumberFormat="1" applyFont="1" applyFill="1" applyBorder="1"/>
    <xf numFmtId="0" fontId="14" fillId="0" borderId="1" xfId="0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left" indent="2"/>
    </xf>
    <xf numFmtId="164" fontId="14" fillId="0" borderId="1" xfId="1" applyNumberFormat="1" applyFont="1" applyFill="1" applyBorder="1"/>
    <xf numFmtId="43" fontId="14" fillId="0" borderId="1" xfId="1" applyFont="1" applyFill="1" applyBorder="1" applyAlignment="1">
      <alignment horizontal="left"/>
    </xf>
    <xf numFmtId="164" fontId="14" fillId="0" borderId="1" xfId="1" applyNumberFormat="1" applyFont="1" applyFill="1" applyBorder="1" applyAlignment="1"/>
    <xf numFmtId="43" fontId="16" fillId="0" borderId="1" xfId="1" applyFont="1" applyFill="1" applyBorder="1" applyAlignment="1">
      <alignment horizontal="left"/>
    </xf>
    <xf numFmtId="164" fontId="1" fillId="0" borderId="1" xfId="1" applyNumberFormat="1" applyFont="1" applyFill="1" applyBorder="1" applyAlignment="1"/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left" indent="2"/>
    </xf>
    <xf numFmtId="49" fontId="16" fillId="0" borderId="1" xfId="1" applyNumberFormat="1" applyFont="1" applyFill="1" applyBorder="1" applyAlignment="1">
      <alignment horizontal="left"/>
    </xf>
    <xf numFmtId="43" fontId="17" fillId="0" borderId="1" xfId="1" applyFont="1" applyFill="1" applyBorder="1" applyAlignment="1">
      <alignment horizontal="left"/>
    </xf>
    <xf numFmtId="43" fontId="14" fillId="0" borderId="1" xfId="1" applyFont="1" applyFill="1" applyBorder="1" applyAlignment="1"/>
    <xf numFmtId="43" fontId="18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left"/>
    </xf>
    <xf numFmtId="164" fontId="3" fillId="0" borderId="1" xfId="1" applyNumberFormat="1" applyFont="1" applyFill="1" applyBorder="1" applyAlignment="1"/>
    <xf numFmtId="43" fontId="6" fillId="0" borderId="1" xfId="1" applyFont="1" applyFill="1" applyBorder="1" applyAlignment="1">
      <alignment horizontal="left"/>
    </xf>
    <xf numFmtId="43" fontId="9" fillId="0" borderId="1" xfId="1" applyFont="1" applyFill="1" applyBorder="1" applyAlignment="1">
      <alignment horizontal="left"/>
    </xf>
    <xf numFmtId="0" fontId="3" fillId="0" borderId="1" xfId="0" applyFont="1" applyFill="1" applyBorder="1"/>
    <xf numFmtId="43" fontId="3" fillId="0" borderId="1" xfId="1" applyFont="1" applyFill="1" applyBorder="1" applyAlignment="1"/>
    <xf numFmtId="43" fontId="1" fillId="3" borderId="1" xfId="1" applyFont="1" applyFill="1" applyBorder="1" applyAlignment="1"/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/>
    </xf>
    <xf numFmtId="43" fontId="15" fillId="0" borderId="1" xfId="0" applyNumberFormat="1" applyFont="1" applyFill="1" applyBorder="1" applyAlignment="1">
      <alignment horizontal="right"/>
    </xf>
    <xf numFmtId="0" fontId="0" fillId="0" borderId="1" xfId="0" applyBorder="1" applyAlignment="1"/>
    <xf numFmtId="164" fontId="1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43" fontId="7" fillId="0" borderId="1" xfId="1" applyFont="1" applyFill="1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6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2.75"/>
  <cols>
    <col min="1" max="1" width="55.5703125" style="13" customWidth="1"/>
    <col min="2" max="2" width="22.7109375" style="13" customWidth="1"/>
    <col min="3" max="3" width="21.5703125" style="13" customWidth="1"/>
    <col min="4" max="4" width="22.42578125" style="13" customWidth="1"/>
    <col min="5" max="5" width="26.5703125" style="13" customWidth="1"/>
    <col min="6" max="6" width="24" style="13" customWidth="1"/>
    <col min="7" max="7" width="23.7109375" style="13" customWidth="1"/>
    <col min="8" max="8" width="21.85546875" style="13" customWidth="1"/>
    <col min="9" max="9" width="20.5703125" style="13" customWidth="1"/>
    <col min="10" max="10" width="21.7109375" style="10" customWidth="1"/>
    <col min="11" max="11" width="25.28515625" style="8" customWidth="1"/>
    <col min="12" max="12" width="25.42578125" style="8" customWidth="1"/>
    <col min="13" max="13" width="24" style="13" customWidth="1"/>
    <col min="14" max="14" width="27" style="13" bestFit="1" customWidth="1"/>
    <col min="15" max="15" width="23.5703125" style="13" customWidth="1"/>
    <col min="16" max="16" width="16.28515625" style="13" bestFit="1" customWidth="1"/>
    <col min="17" max="17" width="16" style="13" bestFit="1" customWidth="1"/>
    <col min="18" max="18" width="18.28515625" style="13" bestFit="1" customWidth="1"/>
    <col min="19" max="16384" width="9.140625" style="13"/>
  </cols>
  <sheetData>
    <row r="1" spans="1:20" ht="23.25">
      <c r="A1" s="80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23"/>
      <c r="O1" s="28"/>
      <c r="P1" s="28"/>
    </row>
    <row r="2" spans="1:20">
      <c r="A2" s="45"/>
      <c r="B2" s="30"/>
      <c r="C2" s="30"/>
      <c r="D2" s="30"/>
      <c r="E2" s="30"/>
      <c r="F2" s="30"/>
      <c r="G2" s="30"/>
      <c r="H2" s="30"/>
      <c r="I2" s="30"/>
      <c r="J2" s="31"/>
      <c r="K2" s="31"/>
      <c r="L2" s="31"/>
      <c r="M2" s="30"/>
      <c r="N2" s="30"/>
      <c r="O2" s="11"/>
      <c r="P2" s="27"/>
      <c r="Q2" s="27"/>
      <c r="R2" s="27"/>
      <c r="S2" s="34"/>
      <c r="T2" s="34"/>
    </row>
    <row r="3" spans="1:20" ht="18">
      <c r="A3" s="81"/>
      <c r="B3" s="77" t="s">
        <v>43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18"/>
    </row>
    <row r="4" spans="1:20" ht="18">
      <c r="A4" s="82"/>
      <c r="B4" s="78" t="s">
        <v>51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19"/>
      <c r="O4" s="11"/>
      <c r="P4" s="11"/>
    </row>
    <row r="5" spans="1:20" ht="16.5" customHeight="1">
      <c r="A5" s="82"/>
      <c r="B5" s="50" t="s">
        <v>4</v>
      </c>
      <c r="C5" s="50" t="s">
        <v>5</v>
      </c>
      <c r="D5" s="50" t="s">
        <v>6</v>
      </c>
      <c r="E5" s="50" t="s">
        <v>7</v>
      </c>
      <c r="F5" s="51" t="s">
        <v>8</v>
      </c>
      <c r="G5" s="50" t="s">
        <v>9</v>
      </c>
      <c r="H5" s="50" t="s">
        <v>10</v>
      </c>
      <c r="I5" s="50" t="s">
        <v>23</v>
      </c>
      <c r="J5" s="52" t="s">
        <v>0</v>
      </c>
      <c r="K5" s="51" t="s">
        <v>1</v>
      </c>
      <c r="L5" s="53" t="s">
        <v>2</v>
      </c>
      <c r="M5" s="50" t="s">
        <v>3</v>
      </c>
      <c r="N5" s="20"/>
    </row>
    <row r="6" spans="1:20" ht="16.5" customHeight="1">
      <c r="A6" s="54" t="s">
        <v>11</v>
      </c>
      <c r="B6" s="53">
        <f t="shared" ref="B6:J6" si="0">SUM(B7:B13)</f>
        <v>5163112.2627450004</v>
      </c>
      <c r="C6" s="53">
        <f t="shared" si="0"/>
        <v>4556037.4358649999</v>
      </c>
      <c r="D6" s="53">
        <f t="shared" si="0"/>
        <v>4975374.5016250014</v>
      </c>
      <c r="E6" s="53">
        <f t="shared" si="0"/>
        <v>4502657.3703359999</v>
      </c>
      <c r="F6" s="55">
        <f t="shared" si="0"/>
        <v>4834887.9973269999</v>
      </c>
      <c r="G6" s="55">
        <f t="shared" si="0"/>
        <v>4905119.2982350001</v>
      </c>
      <c r="H6" s="55">
        <f t="shared" si="0"/>
        <v>5929390.6154310005</v>
      </c>
      <c r="I6" s="55">
        <f t="shared" si="0"/>
        <v>5512730.4861199996</v>
      </c>
      <c r="J6" s="55">
        <f t="shared" si="0"/>
        <v>5653151.2779749995</v>
      </c>
      <c r="K6" s="55">
        <f>SUM(K7:K13)</f>
        <v>6496393.3910529995</v>
      </c>
      <c r="L6" s="55">
        <f>SUM(L7:L13)</f>
        <v>5685198.3165250001</v>
      </c>
      <c r="M6" s="55">
        <f>SUM(M7:M13)</f>
        <v>6866989.9678510008</v>
      </c>
      <c r="N6" s="7"/>
      <c r="O6" s="40"/>
      <c r="R6" s="11"/>
    </row>
    <row r="7" spans="1:20" ht="16.5" customHeight="1">
      <c r="A7" s="56" t="s">
        <v>12</v>
      </c>
      <c r="B7" s="57">
        <v>4458136.6328870002</v>
      </c>
      <c r="C7" s="57">
        <v>3867140.1384129999</v>
      </c>
      <c r="D7" s="57">
        <v>4296529.1085320003</v>
      </c>
      <c r="E7" s="57">
        <f>3863938419074/1000000</f>
        <v>3863938.4190739999</v>
      </c>
      <c r="F7" s="57">
        <f>4181398109110/1000000</f>
        <v>4181398.1091100001</v>
      </c>
      <c r="G7" s="57">
        <f>4234988106267/1000000</f>
        <v>4234988.1062669996</v>
      </c>
      <c r="H7" s="57">
        <f>5312896710734/1000000</f>
        <v>5312896.7107340004</v>
      </c>
      <c r="I7" s="57">
        <v>4891212.1070429999</v>
      </c>
      <c r="J7" s="57">
        <f>5019952663218/1000000</f>
        <v>5019952.663218</v>
      </c>
      <c r="K7" s="57">
        <v>5607179.085984</v>
      </c>
      <c r="L7" s="57">
        <v>5142732.040937</v>
      </c>
      <c r="M7" s="57">
        <v>6100393.6152809998</v>
      </c>
      <c r="N7" s="10"/>
      <c r="O7" s="40"/>
    </row>
    <row r="8" spans="1:20" ht="16.5" customHeight="1">
      <c r="A8" s="56" t="s">
        <v>53</v>
      </c>
      <c r="B8" s="57">
        <v>21556.018679000001</v>
      </c>
      <c r="C8" s="57">
        <v>20955.577676000001</v>
      </c>
      <c r="D8" s="57">
        <v>19505.079795000001</v>
      </c>
      <c r="E8" s="57">
        <f>19754876693/1000000</f>
        <v>19754.876692999998</v>
      </c>
      <c r="F8" s="57">
        <f>18455213373/1000000</f>
        <v>18455.213372999999</v>
      </c>
      <c r="G8" s="57">
        <f>7800973292/1000000</f>
        <v>7800.9732919999997</v>
      </c>
      <c r="H8" s="57">
        <f>300200000/1000000</f>
        <v>300.2</v>
      </c>
      <c r="I8" s="57">
        <v>0</v>
      </c>
      <c r="J8" s="57">
        <v>0</v>
      </c>
      <c r="K8" s="57">
        <v>1.1072E-2</v>
      </c>
      <c r="L8" s="57">
        <v>0</v>
      </c>
      <c r="M8" s="57">
        <v>0</v>
      </c>
      <c r="N8" s="10"/>
      <c r="O8" s="40"/>
    </row>
    <row r="9" spans="1:20" ht="16.5" customHeight="1">
      <c r="A9" s="56" t="s">
        <v>13</v>
      </c>
      <c r="B9" s="57">
        <v>592231.828798</v>
      </c>
      <c r="C9" s="57">
        <v>591425.40541200002</v>
      </c>
      <c r="D9" s="57">
        <v>572651.08694499999</v>
      </c>
      <c r="E9" s="57">
        <f>543600904960/1000000</f>
        <v>543600.90495999996</v>
      </c>
      <c r="F9" s="57">
        <f>551857413905/1000000</f>
        <v>551857.41390499996</v>
      </c>
      <c r="G9" s="57">
        <f>577771934012/1000000</f>
        <v>577771.93401199998</v>
      </c>
      <c r="H9" s="57">
        <f>537337608786/1000000</f>
        <v>537337.60878600006</v>
      </c>
      <c r="I9" s="57">
        <v>547649.434427</v>
      </c>
      <c r="J9" s="57">
        <f>517929316932/1000000</f>
        <v>517929.31693199999</v>
      </c>
      <c r="K9" s="57">
        <v>799116.01247099997</v>
      </c>
      <c r="L9" s="57">
        <v>475658.054924</v>
      </c>
      <c r="M9" s="57">
        <v>693916.28080900002</v>
      </c>
      <c r="N9" s="10"/>
      <c r="O9" s="40"/>
    </row>
    <row r="10" spans="1:20" ht="16.5" customHeight="1">
      <c r="A10" s="56" t="s">
        <v>14</v>
      </c>
      <c r="B10" s="57">
        <v>33825.687578999998</v>
      </c>
      <c r="C10" s="57">
        <v>29857.831963000001</v>
      </c>
      <c r="D10" s="57">
        <v>28788.992420999999</v>
      </c>
      <c r="E10" s="57">
        <f>29761426055/1000000</f>
        <v>29761.426055</v>
      </c>
      <c r="F10" s="57">
        <f>28066450456/1000000</f>
        <v>28066.450455999999</v>
      </c>
      <c r="G10" s="57">
        <f>26658319247/1000000</f>
        <v>26658.319246999999</v>
      </c>
      <c r="H10" s="57">
        <f>29198742371/1000000</f>
        <v>29198.742371</v>
      </c>
      <c r="I10" s="57">
        <v>26547.187054999999</v>
      </c>
      <c r="J10" s="57">
        <f>26572650854/1000000</f>
        <v>26572.650854</v>
      </c>
      <c r="K10" s="57">
        <v>29746.030423</v>
      </c>
      <c r="L10" s="57">
        <v>28586.981613</v>
      </c>
      <c r="M10" s="57">
        <v>29172.490183000002</v>
      </c>
      <c r="N10" s="10"/>
      <c r="O10" s="40"/>
    </row>
    <row r="11" spans="1:20" ht="16.5" customHeight="1">
      <c r="A11" s="56" t="s">
        <v>15</v>
      </c>
      <c r="B11" s="57">
        <v>29949.913767999999</v>
      </c>
      <c r="C11" s="57">
        <v>29222.739261999999</v>
      </c>
      <c r="D11" s="57">
        <v>29863.268866999999</v>
      </c>
      <c r="E11" s="57">
        <f>25624868923/1000000</f>
        <v>25624.868923000002</v>
      </c>
      <c r="F11" s="57">
        <f>33059628845/1000000</f>
        <v>33059.628844999999</v>
      </c>
      <c r="G11" s="57">
        <f>31123840615/1000000</f>
        <v>31123.840615000001</v>
      </c>
      <c r="H11" s="57">
        <f>28987199264/1000000</f>
        <v>28987.199263999999</v>
      </c>
      <c r="I11" s="57">
        <v>29427.174054999999</v>
      </c>
      <c r="J11" s="57">
        <f>25746835031/1000000</f>
        <v>25746.835030999999</v>
      </c>
      <c r="K11" s="57">
        <v>32080.597376000002</v>
      </c>
      <c r="L11" s="57">
        <v>30372.470681999999</v>
      </c>
      <c r="M11" s="57">
        <v>23259.942446000001</v>
      </c>
      <c r="N11" s="8"/>
      <c r="O11" s="40"/>
    </row>
    <row r="12" spans="1:20" ht="16.5" customHeight="1">
      <c r="A12" s="56" t="s">
        <v>16</v>
      </c>
      <c r="B12" s="57">
        <v>14617.216410999999</v>
      </c>
      <c r="C12" s="57">
        <v>2770.7391980000002</v>
      </c>
      <c r="D12" s="57">
        <v>5109.0425230000001</v>
      </c>
      <c r="E12" s="57">
        <f>3665779812/1000000</f>
        <v>3665.7798120000002</v>
      </c>
      <c r="F12" s="57">
        <f>3293332163/1000000</f>
        <v>3293.332163</v>
      </c>
      <c r="G12" s="57">
        <f>3233189016/1000000</f>
        <v>3233.1890159999998</v>
      </c>
      <c r="H12" s="57">
        <f>5733101511/1000000</f>
        <v>5733.1015109999998</v>
      </c>
      <c r="I12" s="57">
        <v>3892.4441660000002</v>
      </c>
      <c r="J12" s="57">
        <f>49109487956/1000000</f>
        <v>49109.487955999997</v>
      </c>
      <c r="K12" s="57">
        <v>4927.1254330000002</v>
      </c>
      <c r="L12" s="57">
        <v>3505.8819640000002</v>
      </c>
      <c r="M12" s="57">
        <v>4784.2400159999997</v>
      </c>
      <c r="N12" s="10"/>
      <c r="O12" s="40"/>
      <c r="R12" s="8"/>
    </row>
    <row r="13" spans="1:20" ht="16.5" customHeight="1">
      <c r="A13" s="56" t="s">
        <v>46</v>
      </c>
      <c r="B13" s="57">
        <v>12794.964623</v>
      </c>
      <c r="C13" s="57">
        <v>14665.003941000001</v>
      </c>
      <c r="D13" s="57">
        <v>22927.922542</v>
      </c>
      <c r="E13" s="57">
        <f>16311094819/1000000</f>
        <v>16311.094819</v>
      </c>
      <c r="F13" s="57">
        <f>18757849475/1000000</f>
        <v>18757.849474999999</v>
      </c>
      <c r="G13" s="57">
        <f>23542935786/1000000</f>
        <v>23542.935785999998</v>
      </c>
      <c r="H13" s="57">
        <f>14937052765/1000000</f>
        <v>14937.052765</v>
      </c>
      <c r="I13" s="57">
        <v>14002.139374</v>
      </c>
      <c r="J13" s="57">
        <f>13840323984/1000000</f>
        <v>13840.323984000001</v>
      </c>
      <c r="K13" s="57">
        <v>23344.528294</v>
      </c>
      <c r="L13" s="57">
        <v>4342.8864050000002</v>
      </c>
      <c r="M13" s="57">
        <v>15463.399116000001</v>
      </c>
      <c r="N13" s="10"/>
      <c r="O13" s="40"/>
      <c r="P13" s="40"/>
    </row>
    <row r="14" spans="1:20" ht="16.5" customHeight="1">
      <c r="A14" s="54" t="s">
        <v>17</v>
      </c>
      <c r="B14" s="53">
        <f>B15+B21</f>
        <v>131299009.30297101</v>
      </c>
      <c r="C14" s="53">
        <f t="shared" ref="C14" si="1">C15+C21</f>
        <v>115663543.569865</v>
      </c>
      <c r="D14" s="53">
        <f>D15+D21</f>
        <v>109530535.17365301</v>
      </c>
      <c r="E14" s="53">
        <f t="shared" ref="E14:M14" si="2">E15+E21</f>
        <v>85386789.071269006</v>
      </c>
      <c r="F14" s="53">
        <f t="shared" si="2"/>
        <v>111132198.582711</v>
      </c>
      <c r="G14" s="53">
        <f t="shared" si="2"/>
        <v>106904532.297962</v>
      </c>
      <c r="H14" s="53">
        <f t="shared" si="2"/>
        <v>104513727.139642</v>
      </c>
      <c r="I14" s="53">
        <f t="shared" si="2"/>
        <v>105070462.456967</v>
      </c>
      <c r="J14" s="53">
        <f t="shared" si="2"/>
        <v>98371947.400985003</v>
      </c>
      <c r="K14" s="53">
        <f t="shared" si="2"/>
        <v>105104726.64931701</v>
      </c>
      <c r="L14" s="53">
        <f t="shared" si="2"/>
        <v>92620245.084516004</v>
      </c>
      <c r="M14" s="53">
        <f t="shared" si="2"/>
        <v>98568450.848389</v>
      </c>
      <c r="N14" s="26"/>
      <c r="O14" s="40"/>
      <c r="P14" s="11"/>
      <c r="R14" s="11"/>
    </row>
    <row r="15" spans="1:20" s="47" customFormat="1" ht="16.5" customHeight="1">
      <c r="A15" s="54" t="s">
        <v>25</v>
      </c>
      <c r="B15" s="53">
        <f>125706180278408/1000000</f>
        <v>125706180.27840801</v>
      </c>
      <c r="C15" s="53">
        <f>113533470946316/1000000</f>
        <v>113533470.946316</v>
      </c>
      <c r="D15" s="53">
        <f>107695252296029/1000000</f>
        <v>107695252.296029</v>
      </c>
      <c r="E15" s="53">
        <f>84637247906103/1000000</f>
        <v>84637247.906103</v>
      </c>
      <c r="F15" s="53">
        <f>109826810703270/1000000</f>
        <v>109826810.70327</v>
      </c>
      <c r="G15" s="53">
        <f>104127767419201/1000000</f>
        <v>104127767.419201</v>
      </c>
      <c r="H15" s="53">
        <f>103193873833893/1000000</f>
        <v>103193873.833893</v>
      </c>
      <c r="I15" s="53">
        <f>103853614323435/1000000</f>
        <v>103853614.32343499</v>
      </c>
      <c r="J15" s="53">
        <f>97362865953085/1000000</f>
        <v>97362865.953085005</v>
      </c>
      <c r="K15" s="53">
        <f>104095874944845/1000000</f>
        <v>104095874.94484501</v>
      </c>
      <c r="L15" s="53">
        <f>91193016733011/1000000</f>
        <v>91193016.733011007</v>
      </c>
      <c r="M15" s="53">
        <f>97237972744302/1000000</f>
        <v>97237972.744302005</v>
      </c>
      <c r="N15" s="26"/>
      <c r="O15" s="40"/>
      <c r="P15" s="11"/>
      <c r="Q15" s="46"/>
      <c r="R15" s="11"/>
    </row>
    <row r="16" spans="1:20" ht="16.5" customHeight="1">
      <c r="A16" s="68" t="s">
        <v>36</v>
      </c>
      <c r="B16" s="12">
        <v>88371349.120492414</v>
      </c>
      <c r="C16" s="12">
        <v>72786683.585778996</v>
      </c>
      <c r="D16" s="12">
        <v>73429382.808000594</v>
      </c>
      <c r="E16" s="12">
        <v>56093713.060296498</v>
      </c>
      <c r="F16" s="12">
        <v>74445390.15271759</v>
      </c>
      <c r="G16" s="12">
        <v>71180645.742261708</v>
      </c>
      <c r="H16" s="12">
        <v>62768859.407188296</v>
      </c>
      <c r="I16" s="12">
        <v>59965736.472234502</v>
      </c>
      <c r="J16" s="12">
        <v>58613321.221085899</v>
      </c>
      <c r="K16" s="12">
        <v>58091883.355162598</v>
      </c>
      <c r="L16" s="12">
        <v>53924224.832534701</v>
      </c>
      <c r="M16" s="12">
        <v>58170089.522823997</v>
      </c>
    </row>
    <row r="17" spans="1:18" ht="16.5" customHeight="1">
      <c r="A17" s="56" t="s">
        <v>33</v>
      </c>
      <c r="B17" s="12">
        <v>10193785.488629</v>
      </c>
      <c r="C17" s="12">
        <v>13585571.928381</v>
      </c>
      <c r="D17" s="12">
        <v>11489706.955145</v>
      </c>
      <c r="E17" s="12">
        <v>7736179.3163179997</v>
      </c>
      <c r="F17" s="12">
        <v>8637213.6539200004</v>
      </c>
      <c r="G17" s="12">
        <v>7871543.5994239999</v>
      </c>
      <c r="H17" s="12">
        <v>17233016.479619998</v>
      </c>
      <c r="I17" s="12">
        <v>17234818.516532999</v>
      </c>
      <c r="J17" s="12">
        <v>15553997.876150001</v>
      </c>
      <c r="K17" s="12">
        <v>19088281.543570001</v>
      </c>
      <c r="L17" s="12">
        <v>14900717.200827001</v>
      </c>
      <c r="M17" s="12">
        <v>15597865.016316</v>
      </c>
    </row>
    <row r="18" spans="1:18" ht="16.5" customHeight="1">
      <c r="A18" s="56" t="s">
        <v>34</v>
      </c>
      <c r="B18" s="12">
        <v>3869212.49190835</v>
      </c>
      <c r="C18" s="12">
        <v>3119796.2981381603</v>
      </c>
      <c r="D18" s="12">
        <v>3411704.0880974303</v>
      </c>
      <c r="E18" s="12">
        <v>3091879.6514639999</v>
      </c>
      <c r="F18" s="12">
        <v>3406212.9396903301</v>
      </c>
      <c r="G18" s="12">
        <v>3994161.1305396003</v>
      </c>
      <c r="H18" s="12">
        <v>3212264.5087584802</v>
      </c>
      <c r="I18" s="12">
        <v>2737931.9973682598</v>
      </c>
      <c r="J18" s="12">
        <v>3234944.4900314999</v>
      </c>
      <c r="K18" s="12">
        <v>3462515.06152756</v>
      </c>
      <c r="L18" s="12">
        <v>3727159.2577332999</v>
      </c>
      <c r="M18" s="12">
        <v>4228960.73283114</v>
      </c>
    </row>
    <row r="19" spans="1:18" ht="16.5" customHeight="1">
      <c r="A19" s="60" t="s">
        <v>48</v>
      </c>
      <c r="B19" s="12">
        <v>14216654.726219</v>
      </c>
      <c r="C19" s="12">
        <v>19575868.908295002</v>
      </c>
      <c r="D19" s="12">
        <v>15300198.364530999</v>
      </c>
      <c r="E19" s="12">
        <v>15833511.449304</v>
      </c>
      <c r="F19" s="12">
        <v>20037481.257587001</v>
      </c>
      <c r="G19" s="12">
        <v>16328216.226505</v>
      </c>
      <c r="H19" s="12">
        <v>16603718.396929</v>
      </c>
      <c r="I19" s="12">
        <v>21423730.851953</v>
      </c>
      <c r="J19" s="12">
        <v>16862109.739555001</v>
      </c>
      <c r="K19" s="12">
        <v>20624546.086318001</v>
      </c>
      <c r="L19" s="12">
        <v>16725657.843167</v>
      </c>
      <c r="M19" s="12">
        <v>15898272.512737</v>
      </c>
    </row>
    <row r="20" spans="1:18" ht="16.5" customHeight="1">
      <c r="A20" s="68" t="s">
        <v>35</v>
      </c>
      <c r="B20" s="12">
        <v>9055178.4511592388</v>
      </c>
      <c r="C20" s="12">
        <v>4465550.2257228494</v>
      </c>
      <c r="D20" s="12">
        <v>4064260.0802549869</v>
      </c>
      <c r="E20" s="12">
        <v>1881964.428720504</v>
      </c>
      <c r="F20" s="12">
        <v>3300512.6993550807</v>
      </c>
      <c r="G20" s="12">
        <v>4753200.7204706967</v>
      </c>
      <c r="H20" s="12">
        <v>3376015.0413972288</v>
      </c>
      <c r="I20" s="12">
        <v>2491396.4853462279</v>
      </c>
      <c r="J20" s="12">
        <v>3098492.6262626052</v>
      </c>
      <c r="K20" s="12">
        <v>2828648.898266837</v>
      </c>
      <c r="L20" s="12">
        <v>1915257.5987490118</v>
      </c>
      <c r="M20" s="12">
        <v>3342784.9595938623</v>
      </c>
    </row>
    <row r="21" spans="1:18" ht="16.5" customHeight="1">
      <c r="A21" s="54" t="s">
        <v>24</v>
      </c>
      <c r="B21" s="58">
        <f>5592829024563/1000000</f>
        <v>5592829.0245629996</v>
      </c>
      <c r="C21" s="58">
        <f>2130072623549/1000000</f>
        <v>2130072.6235489999</v>
      </c>
      <c r="D21" s="58">
        <f>1835282877624/1000000</f>
        <v>1835282.877624</v>
      </c>
      <c r="E21" s="58">
        <f>749541165166/1000000</f>
        <v>749541.16516600002</v>
      </c>
      <c r="F21" s="58">
        <f>1305387879441/1000000</f>
        <v>1305387.8794410001</v>
      </c>
      <c r="G21" s="58">
        <f>2776764878761/1000000</f>
        <v>2776764.878761</v>
      </c>
      <c r="H21" s="58">
        <f>1319853305749/1000000</f>
        <v>1319853.3057490001</v>
      </c>
      <c r="I21" s="58">
        <f>1216848133532/1000000</f>
        <v>1216848.133532</v>
      </c>
      <c r="J21" s="58">
        <f>1009081447900/1000000</f>
        <v>1009081.4479</v>
      </c>
      <c r="K21" s="58">
        <f>1008851704472/1000000</f>
        <v>1008851.704472</v>
      </c>
      <c r="L21" s="58">
        <f>1427228351505/1000000</f>
        <v>1427228.3515049999</v>
      </c>
      <c r="M21" s="58">
        <f>1330478104087/1000000</f>
        <v>1330478.104087</v>
      </c>
      <c r="O21" s="8"/>
      <c r="Q21" s="73"/>
    </row>
    <row r="22" spans="1:18" ht="16.5" customHeight="1">
      <c r="A22" s="61" t="s">
        <v>45</v>
      </c>
      <c r="B22" s="53">
        <f>B14+B6</f>
        <v>136462121.565716</v>
      </c>
      <c r="C22" s="53">
        <f>C14+C6</f>
        <v>120219581.00573</v>
      </c>
      <c r="D22" s="53">
        <f>D14+D6</f>
        <v>114505909.67527801</v>
      </c>
      <c r="E22" s="53">
        <f>E14+E6</f>
        <v>89889446.441605002</v>
      </c>
      <c r="F22" s="53">
        <f>F6+F14</f>
        <v>115967086.580038</v>
      </c>
      <c r="G22" s="53">
        <f>G6+G14</f>
        <v>111809651.59619699</v>
      </c>
      <c r="H22" s="53">
        <f>H6+H14</f>
        <v>110443117.755073</v>
      </c>
      <c r="I22" s="53">
        <f>I6+I14</f>
        <v>110583192.943087</v>
      </c>
      <c r="J22" s="53">
        <f>J6+J14</f>
        <v>104025098.67896</v>
      </c>
      <c r="K22" s="53">
        <f t="shared" ref="K22:M22" si="3">K6+K14</f>
        <v>111601120.04037002</v>
      </c>
      <c r="L22" s="53">
        <f t="shared" si="3"/>
        <v>98305443.401041001</v>
      </c>
      <c r="M22" s="53">
        <f t="shared" si="3"/>
        <v>105435440.81624</v>
      </c>
      <c r="N22" s="6"/>
      <c r="O22" s="11"/>
      <c r="P22" s="11"/>
      <c r="Q22" s="73"/>
      <c r="R22" s="11"/>
    </row>
    <row r="23" spans="1:18" ht="16.5" customHeight="1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1"/>
      <c r="P23" s="11"/>
      <c r="Q23" s="11"/>
      <c r="R23" s="11"/>
    </row>
    <row r="24" spans="1:18" ht="16.5" customHeight="1">
      <c r="A24" s="83"/>
      <c r="B24" s="77" t="s">
        <v>27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18"/>
    </row>
    <row r="25" spans="1:18" ht="16.5" customHeight="1">
      <c r="A25" s="83"/>
      <c r="B25" s="76" t="s">
        <v>51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8"/>
    </row>
    <row r="26" spans="1:18" ht="16.5" customHeight="1">
      <c r="A26" s="84"/>
      <c r="B26" s="50" t="s">
        <v>4</v>
      </c>
      <c r="C26" s="50" t="s">
        <v>5</v>
      </c>
      <c r="D26" s="50" t="s">
        <v>6</v>
      </c>
      <c r="E26" s="50" t="s">
        <v>7</v>
      </c>
      <c r="F26" s="51" t="s">
        <v>8</v>
      </c>
      <c r="G26" s="50" t="s">
        <v>9</v>
      </c>
      <c r="H26" s="50" t="s">
        <v>10</v>
      </c>
      <c r="I26" s="50" t="s">
        <v>23</v>
      </c>
      <c r="J26" s="52" t="s">
        <v>0</v>
      </c>
      <c r="K26" s="51" t="s">
        <v>1</v>
      </c>
      <c r="L26" s="53" t="s">
        <v>2</v>
      </c>
      <c r="M26" s="50" t="s">
        <v>3</v>
      </c>
      <c r="N26" s="20"/>
    </row>
    <row r="27" spans="1:18" ht="16.5" customHeight="1">
      <c r="A27" s="54" t="s">
        <v>11</v>
      </c>
      <c r="B27" s="62">
        <f t="shared" ref="B27:G27" si="4">B6/B22*100</f>
        <v>3.7835497524920152</v>
      </c>
      <c r="C27" s="62">
        <f t="shared" si="4"/>
        <v>3.7897631964362333</v>
      </c>
      <c r="D27" s="62">
        <f t="shared" si="4"/>
        <v>4.3450809794310485</v>
      </c>
      <c r="E27" s="62">
        <f t="shared" si="4"/>
        <v>5.0091056832362044</v>
      </c>
      <c r="F27" s="62">
        <f t="shared" si="4"/>
        <v>4.1691898450773479</v>
      </c>
      <c r="G27" s="62">
        <f t="shared" si="4"/>
        <v>4.3870267264135174</v>
      </c>
      <c r="H27" s="62">
        <f t="shared" ref="H27:I27" si="5">H6/H22*100</f>
        <v>5.3687280257521026</v>
      </c>
      <c r="I27" s="62">
        <f t="shared" si="5"/>
        <v>4.9851431663373971</v>
      </c>
      <c r="J27" s="62">
        <f t="shared" ref="J27:M27" si="6">J6/J22*100</f>
        <v>5.4344108775341153</v>
      </c>
      <c r="K27" s="62">
        <f t="shared" si="6"/>
        <v>5.8210826098367354</v>
      </c>
      <c r="L27" s="62">
        <f t="shared" si="6"/>
        <v>5.7831978777940156</v>
      </c>
      <c r="M27" s="62">
        <f t="shared" si="6"/>
        <v>6.5129807536151478</v>
      </c>
      <c r="N27" s="21"/>
    </row>
    <row r="28" spans="1:18" ht="16.5" customHeight="1">
      <c r="A28" s="56" t="s">
        <v>28</v>
      </c>
      <c r="B28" s="14">
        <f t="shared" ref="B28:G28" si="7">B7/B6*100</f>
        <v>86.345917075155839</v>
      </c>
      <c r="C28" s="14">
        <f t="shared" si="7"/>
        <v>84.879463631509708</v>
      </c>
      <c r="D28" s="14">
        <f t="shared" si="7"/>
        <v>86.355893553916701</v>
      </c>
      <c r="E28" s="14">
        <f t="shared" si="7"/>
        <v>85.81462237233616</v>
      </c>
      <c r="F28" s="14">
        <f t="shared" si="7"/>
        <v>86.483867080720671</v>
      </c>
      <c r="G28" s="14">
        <f t="shared" si="7"/>
        <v>86.338126532230675</v>
      </c>
      <c r="H28" s="14">
        <f t="shared" ref="H28:I28" si="8">H7/H6*100</f>
        <v>89.602744283829111</v>
      </c>
      <c r="I28" s="14">
        <f t="shared" si="8"/>
        <v>88.725761568756823</v>
      </c>
      <c r="J28" s="14">
        <f t="shared" ref="J28:M28" si="9">J7/J6*100</f>
        <v>88.79919210327914</v>
      </c>
      <c r="K28" s="14">
        <f t="shared" si="9"/>
        <v>86.312185061119479</v>
      </c>
      <c r="L28" s="14">
        <f t="shared" si="9"/>
        <v>90.458269960236407</v>
      </c>
      <c r="M28" s="14">
        <f t="shared" si="9"/>
        <v>88.83650105564513</v>
      </c>
      <c r="N28" s="22"/>
    </row>
    <row r="29" spans="1:18" ht="16.5" customHeight="1">
      <c r="A29" s="56" t="s">
        <v>52</v>
      </c>
      <c r="B29" s="14">
        <f t="shared" ref="B29:G29" si="10">B8/B6*100</f>
        <v>0.41750048385621602</v>
      </c>
      <c r="C29" s="14">
        <f t="shared" si="10"/>
        <v>0.45995183250774629</v>
      </c>
      <c r="D29" s="14">
        <f t="shared" si="10"/>
        <v>0.39203239451883409</v>
      </c>
      <c r="E29" s="14">
        <f t="shared" si="10"/>
        <v>0.4387381732207139</v>
      </c>
      <c r="F29" s="14">
        <f t="shared" si="10"/>
        <v>0.38170922228608162</v>
      </c>
      <c r="G29" s="14">
        <f t="shared" si="10"/>
        <v>0.15903738151296359</v>
      </c>
      <c r="H29" s="14">
        <f t="shared" ref="H29:I29" si="11">H8/H6*100</f>
        <v>5.0629148840142454E-3</v>
      </c>
      <c r="I29" s="14">
        <f t="shared" si="11"/>
        <v>0</v>
      </c>
      <c r="J29" s="14">
        <f t="shared" ref="J29:M29" si="12">J8/J6*100</f>
        <v>0</v>
      </c>
      <c r="K29" s="14">
        <f t="shared" si="12"/>
        <v>1.7043302850545725E-7</v>
      </c>
      <c r="L29" s="14">
        <f t="shared" si="12"/>
        <v>0</v>
      </c>
      <c r="M29" s="14">
        <f t="shared" si="12"/>
        <v>0</v>
      </c>
      <c r="N29" s="22"/>
    </row>
    <row r="30" spans="1:18" ht="16.5" customHeight="1">
      <c r="A30" s="56" t="s">
        <v>29</v>
      </c>
      <c r="B30" s="14">
        <f t="shared" ref="B30:G30" si="13">B9/B6*100</f>
        <v>11.47044260631932</v>
      </c>
      <c r="C30" s="14">
        <f t="shared" si="13"/>
        <v>12.981135772860769</v>
      </c>
      <c r="D30" s="14">
        <f t="shared" si="13"/>
        <v>11.509708199010287</v>
      </c>
      <c r="E30" s="14">
        <f t="shared" si="13"/>
        <v>12.072890745391872</v>
      </c>
      <c r="F30" s="14">
        <f t="shared" si="13"/>
        <v>11.41406821026874</v>
      </c>
      <c r="G30" s="14">
        <f t="shared" si="13"/>
        <v>11.77895783737408</v>
      </c>
      <c r="H30" s="14">
        <f t="shared" ref="H30:I30" si="14">H9/H6*100</f>
        <v>9.0622737417164014</v>
      </c>
      <c r="I30" s="14">
        <f t="shared" si="14"/>
        <v>9.9342682506586613</v>
      </c>
      <c r="J30" s="14">
        <f t="shared" ref="J30:M30" si="15">J9/J6*100</f>
        <v>9.1617805974851976</v>
      </c>
      <c r="K30" s="14">
        <f t="shared" si="15"/>
        <v>12.300917822673165</v>
      </c>
      <c r="L30" s="14">
        <f t="shared" si="15"/>
        <v>8.3666044426527506</v>
      </c>
      <c r="M30" s="14">
        <f t="shared" si="15"/>
        <v>10.105101129573349</v>
      </c>
      <c r="N30" s="22"/>
    </row>
    <row r="31" spans="1:18" ht="16.5" customHeight="1">
      <c r="A31" s="56" t="s">
        <v>30</v>
      </c>
      <c r="B31" s="14">
        <f t="shared" ref="B31:G31" si="16">B10/B6*100</f>
        <v>0.65514143132375668</v>
      </c>
      <c r="C31" s="14">
        <f t="shared" si="16"/>
        <v>0.65534650193960164</v>
      </c>
      <c r="D31" s="14">
        <f t="shared" si="16"/>
        <v>0.57862965715640613</v>
      </c>
      <c r="E31" s="14">
        <f t="shared" si="16"/>
        <v>0.66097470020862648</v>
      </c>
      <c r="F31" s="14">
        <f t="shared" si="16"/>
        <v>0.58049846183648357</v>
      </c>
      <c r="G31" s="14">
        <f t="shared" si="16"/>
        <v>0.54347952875666883</v>
      </c>
      <c r="H31" s="14">
        <f t="shared" ref="H31:I31" si="17">H10/H6*100</f>
        <v>0.49244086390617359</v>
      </c>
      <c r="I31" s="14">
        <f t="shared" si="17"/>
        <v>0.48156148975250535</v>
      </c>
      <c r="J31" s="14">
        <f t="shared" ref="J31:M31" si="18">J10/J6*100</f>
        <v>0.47005023476956237</v>
      </c>
      <c r="K31" s="14">
        <f t="shared" si="18"/>
        <v>0.45788530084965295</v>
      </c>
      <c r="L31" s="14">
        <f t="shared" si="18"/>
        <v>0.50283173992201913</v>
      </c>
      <c r="M31" s="14">
        <f t="shared" si="18"/>
        <v>0.42482208827413542</v>
      </c>
      <c r="N31" s="22"/>
    </row>
    <row r="32" spans="1:18" ht="16.5" customHeight="1">
      <c r="A32" s="56" t="s">
        <v>31</v>
      </c>
      <c r="B32" s="14">
        <f t="shared" ref="B32:G32" si="19">B11/B6*100</f>
        <v>0.58007481232021363</v>
      </c>
      <c r="C32" s="14">
        <f t="shared" si="19"/>
        <v>0.6414069171591833</v>
      </c>
      <c r="D32" s="14">
        <f t="shared" si="19"/>
        <v>0.60022152819343322</v>
      </c>
      <c r="E32" s="14">
        <f t="shared" si="19"/>
        <v>0.56910545962967207</v>
      </c>
      <c r="F32" s="14">
        <f t="shared" si="19"/>
        <v>0.68377238238563609</v>
      </c>
      <c r="G32" s="14">
        <f t="shared" si="19"/>
        <v>0.6345175055415927</v>
      </c>
      <c r="H32" s="14">
        <f t="shared" ref="H32:I32" si="20">H11/H6*100</f>
        <v>0.48887315989204655</v>
      </c>
      <c r="I32" s="14">
        <f t="shared" si="20"/>
        <v>0.53380396754552017</v>
      </c>
      <c r="J32" s="14">
        <f t="shared" ref="J32:M32" si="21">J11/J6*100</f>
        <v>0.45544217313467517</v>
      </c>
      <c r="K32" s="14">
        <f t="shared" si="21"/>
        <v>0.49382165526155214</v>
      </c>
      <c r="L32" s="14">
        <f t="shared" si="21"/>
        <v>0.53423766403569817</v>
      </c>
      <c r="M32" s="14">
        <f t="shared" si="21"/>
        <v>0.33872107801082335</v>
      </c>
      <c r="N32" s="22"/>
    </row>
    <row r="33" spans="1:14" ht="16.5" customHeight="1">
      <c r="A33" s="56" t="s">
        <v>32</v>
      </c>
      <c r="B33" s="14">
        <f t="shared" ref="B33:G33" si="22">B12/B6*100</f>
        <v>0.28310863035987266</v>
      </c>
      <c r="C33" s="14">
        <f t="shared" si="22"/>
        <v>6.0814671455261059E-2</v>
      </c>
      <c r="D33" s="14">
        <f t="shared" si="22"/>
        <v>0.10268659216168233</v>
      </c>
      <c r="E33" s="14">
        <f t="shared" si="22"/>
        <v>8.141369663502622E-2</v>
      </c>
      <c r="F33" s="14">
        <f t="shared" si="22"/>
        <v>6.811599699560239E-2</v>
      </c>
      <c r="G33" s="14">
        <f t="shared" si="22"/>
        <v>6.591458473116836E-2</v>
      </c>
      <c r="H33" s="14">
        <f t="shared" ref="H33:I33" si="23">H12/H6*100</f>
        <v>9.6689556867443238E-2</v>
      </c>
      <c r="I33" s="14">
        <f t="shared" si="23"/>
        <v>7.060827979529255E-2</v>
      </c>
      <c r="J33" s="14">
        <f t="shared" ref="J33:M33" si="24">J12/J6*100</f>
        <v>0.86870995558412467</v>
      </c>
      <c r="K33" s="14">
        <f t="shared" si="24"/>
        <v>7.5844012768465724E-2</v>
      </c>
      <c r="L33" s="14">
        <f t="shared" si="24"/>
        <v>6.1666836736540137E-2</v>
      </c>
      <c r="M33" s="14">
        <f t="shared" si="24"/>
        <v>6.967011803422235E-2</v>
      </c>
      <c r="N33" s="22"/>
    </row>
    <row r="34" spans="1:14" ht="16.5" customHeight="1">
      <c r="A34" s="56" t="s">
        <v>47</v>
      </c>
      <c r="B34" s="14">
        <f t="shared" ref="B34:G34" si="25">B13/B6*100</f>
        <v>0.24781496066478087</v>
      </c>
      <c r="C34" s="14">
        <f t="shared" si="25"/>
        <v>0.32188067256773395</v>
      </c>
      <c r="D34" s="14">
        <f t="shared" si="25"/>
        <v>0.46082807504262319</v>
      </c>
      <c r="E34" s="14">
        <f t="shared" si="25"/>
        <v>0.36225485257793055</v>
      </c>
      <c r="F34" s="14">
        <f t="shared" si="25"/>
        <v>0.3879686455067915</v>
      </c>
      <c r="G34" s="14">
        <f t="shared" si="25"/>
        <v>0.47996662985284388</v>
      </c>
      <c r="H34" s="14">
        <f t="shared" ref="H34:I34" si="26">H13/H6*100</f>
        <v>0.25191547890481231</v>
      </c>
      <c r="I34" s="14">
        <f t="shared" si="26"/>
        <v>0.2539964434912011</v>
      </c>
      <c r="J34" s="14">
        <f t="shared" ref="J34:M34" si="27">J13/J6*100</f>
        <v>0.24482493574730069</v>
      </c>
      <c r="K34" s="14">
        <f t="shared" si="27"/>
        <v>0.35934597689466724</v>
      </c>
      <c r="L34" s="14">
        <f t="shared" si="27"/>
        <v>7.638935641658548E-2</v>
      </c>
      <c r="M34" s="14">
        <f t="shared" si="27"/>
        <v>0.22518453046232154</v>
      </c>
      <c r="N34" s="22"/>
    </row>
    <row r="35" spans="1:14" ht="16.5" customHeight="1">
      <c r="A35" s="54" t="s">
        <v>17</v>
      </c>
      <c r="B35" s="62">
        <f t="shared" ref="B35:G35" si="28">B14/B22*100</f>
        <v>96.216450247507993</v>
      </c>
      <c r="C35" s="62">
        <f t="shared" si="28"/>
        <v>96.21023680356376</v>
      </c>
      <c r="D35" s="62">
        <f t="shared" si="28"/>
        <v>95.654919020568954</v>
      </c>
      <c r="E35" s="62">
        <f t="shared" si="28"/>
        <v>94.9908943167638</v>
      </c>
      <c r="F35" s="62">
        <f t="shared" si="28"/>
        <v>95.830810154922659</v>
      </c>
      <c r="G35" s="62">
        <f t="shared" si="28"/>
        <v>95.612973273586491</v>
      </c>
      <c r="H35" s="62">
        <f t="shared" ref="H35:I35" si="29">H14/H22*100</f>
        <v>94.631271974247895</v>
      </c>
      <c r="I35" s="62">
        <f t="shared" si="29"/>
        <v>95.014856833662591</v>
      </c>
      <c r="J35" s="62">
        <f t="shared" ref="J35:M35" si="30">J14/J22*100</f>
        <v>94.565589122465894</v>
      </c>
      <c r="K35" s="62">
        <f t="shared" si="30"/>
        <v>94.178917390163264</v>
      </c>
      <c r="L35" s="62">
        <f t="shared" si="30"/>
        <v>94.216802122205991</v>
      </c>
      <c r="M35" s="62">
        <f t="shared" si="30"/>
        <v>93.487019246384847</v>
      </c>
      <c r="N35" s="21"/>
    </row>
    <row r="36" spans="1:14" ht="16.5" customHeight="1">
      <c r="A36" s="63" t="s">
        <v>18</v>
      </c>
      <c r="B36" s="71">
        <f>B16/B14*100</f>
        <v>67.305419583613542</v>
      </c>
      <c r="C36" s="71">
        <f>C16/C14*100</f>
        <v>62.929667671657654</v>
      </c>
      <c r="D36" s="71">
        <f>D16/D14*100</f>
        <v>67.040102279773805</v>
      </c>
      <c r="E36" s="71">
        <f t="shared" ref="E36:G36" si="31">E15/E14*100</f>
        <v>99.122181342900248</v>
      </c>
      <c r="F36" s="71">
        <f t="shared" si="31"/>
        <v>98.825373837565678</v>
      </c>
      <c r="G36" s="71">
        <f t="shared" si="31"/>
        <v>97.402575158346266</v>
      </c>
      <c r="H36" s="71">
        <f t="shared" ref="H36:I36" si="32">H15/H14*100</f>
        <v>98.737148370964206</v>
      </c>
      <c r="I36" s="71">
        <f t="shared" si="32"/>
        <v>98.841874200344009</v>
      </c>
      <c r="J36" s="71">
        <f t="shared" ref="J36:M36" si="33">J15/J14*100</f>
        <v>98.974218286249055</v>
      </c>
      <c r="K36" s="71">
        <f t="shared" si="33"/>
        <v>99.040146207850341</v>
      </c>
      <c r="L36" s="71">
        <f t="shared" si="33"/>
        <v>98.459053579265913</v>
      </c>
      <c r="M36" s="71">
        <f t="shared" si="33"/>
        <v>98.650198828696773</v>
      </c>
      <c r="N36" s="22"/>
    </row>
    <row r="37" spans="1:14" ht="16.5" customHeight="1">
      <c r="A37" s="56" t="s">
        <v>37</v>
      </c>
      <c r="B37" s="14">
        <f t="shared" ref="B37:M37" si="34">B16/B15*100</f>
        <v>70.299923937527808</v>
      </c>
      <c r="C37" s="14">
        <f t="shared" si="34"/>
        <v>64.110330618004255</v>
      </c>
      <c r="D37" s="14">
        <f t="shared" si="34"/>
        <v>68.182562594459071</v>
      </c>
      <c r="E37" s="14">
        <f t="shared" si="34"/>
        <v>66.275445442799779</v>
      </c>
      <c r="F37" s="14">
        <f t="shared" si="34"/>
        <v>67.784350356721262</v>
      </c>
      <c r="G37" s="14">
        <f t="shared" si="34"/>
        <v>68.358947384034764</v>
      </c>
      <c r="H37" s="14">
        <f t="shared" si="34"/>
        <v>60.826148951656556</v>
      </c>
      <c r="I37" s="14">
        <f t="shared" si="34"/>
        <v>57.740635088039483</v>
      </c>
      <c r="J37" s="14">
        <f t="shared" si="34"/>
        <v>60.200899642096758</v>
      </c>
      <c r="K37" s="14">
        <f t="shared" si="34"/>
        <v>55.806133899102598</v>
      </c>
      <c r="L37" s="14">
        <f t="shared" si="34"/>
        <v>59.131967297902364</v>
      </c>
      <c r="M37" s="14">
        <f t="shared" si="34"/>
        <v>59.822400530488927</v>
      </c>
      <c r="N37" s="22"/>
    </row>
    <row r="38" spans="1:14" ht="16.5" customHeight="1">
      <c r="A38" s="56" t="s">
        <v>40</v>
      </c>
      <c r="B38" s="14">
        <f>B17/B16*100</f>
        <v>11.535170154220452</v>
      </c>
      <c r="C38" s="14">
        <f>C17/C16*100</f>
        <v>18.664914046221686</v>
      </c>
      <c r="D38" s="14">
        <f>D17/D16*100</f>
        <v>15.647287932662731</v>
      </c>
      <c r="E38" s="14">
        <f t="shared" ref="E38:M38" si="35">E17/E15*100</f>
        <v>9.1403956386915564</v>
      </c>
      <c r="F38" s="14">
        <f t="shared" si="35"/>
        <v>7.8643944940329904</v>
      </c>
      <c r="G38" s="14">
        <f t="shared" si="35"/>
        <v>7.5595048223155308</v>
      </c>
      <c r="H38" s="14">
        <f t="shared" si="35"/>
        <v>16.69965070538905</v>
      </c>
      <c r="I38" s="14">
        <f t="shared" si="35"/>
        <v>16.595299671379749</v>
      </c>
      <c r="J38" s="14">
        <f t="shared" si="35"/>
        <v>15.97528762520693</v>
      </c>
      <c r="K38" s="14">
        <f t="shared" si="35"/>
        <v>18.337212260989102</v>
      </c>
      <c r="L38" s="14">
        <f t="shared" si="35"/>
        <v>16.339756852712036</v>
      </c>
      <c r="M38" s="14">
        <f t="shared" si="35"/>
        <v>16.040919587384149</v>
      </c>
      <c r="N38" s="22"/>
    </row>
    <row r="39" spans="1:14" ht="16.5" customHeight="1">
      <c r="A39" s="56" t="s">
        <v>38</v>
      </c>
      <c r="B39" s="14">
        <f>B18/B16*100</f>
        <v>4.378356255071723</v>
      </c>
      <c r="C39" s="14">
        <f>C18/C16*100</f>
        <v>4.2862185010277125</v>
      </c>
      <c r="D39" s="14">
        <f>D18/D16*100</f>
        <v>4.646238273605241</v>
      </c>
      <c r="E39" s="14">
        <f t="shared" ref="E39:M39" si="36">E18/E15*100</f>
        <v>3.6530956853584691</v>
      </c>
      <c r="F39" s="14">
        <f t="shared" si="36"/>
        <v>3.1014402748097947</v>
      </c>
      <c r="G39" s="14">
        <f t="shared" si="36"/>
        <v>3.8358271088822784</v>
      </c>
      <c r="H39" s="14">
        <f t="shared" si="36"/>
        <v>3.1128441926011345</v>
      </c>
      <c r="I39" s="14">
        <f t="shared" si="36"/>
        <v>2.6363377097704288</v>
      </c>
      <c r="J39" s="14">
        <f t="shared" si="36"/>
        <v>3.3225649824136041</v>
      </c>
      <c r="K39" s="14">
        <f t="shared" si="36"/>
        <v>3.3262749973158563</v>
      </c>
      <c r="L39" s="14">
        <f t="shared" si="36"/>
        <v>4.0871103854864614</v>
      </c>
      <c r="M39" s="14">
        <f t="shared" si="36"/>
        <v>4.3490836074417754</v>
      </c>
      <c r="N39" s="22"/>
    </row>
    <row r="40" spans="1:14" ht="16.5" customHeight="1">
      <c r="A40" s="60" t="s">
        <v>49</v>
      </c>
      <c r="B40" s="14">
        <f>B19/B16*100</f>
        <v>16.087402611489953</v>
      </c>
      <c r="C40" s="14">
        <f>C19/C16*100</f>
        <v>26.894849365165634</v>
      </c>
      <c r="D40" s="14">
        <f>D19/D16*100</f>
        <v>20.836615778913977</v>
      </c>
      <c r="E40" s="14">
        <f t="shared" ref="E40:M40" si="37">E19/E15*100</f>
        <v>18.707497988202284</v>
      </c>
      <c r="F40" s="14">
        <f t="shared" si="37"/>
        <v>18.24461725627657</v>
      </c>
      <c r="G40" s="14">
        <f t="shared" si="37"/>
        <v>15.680943355647228</v>
      </c>
      <c r="H40" s="14">
        <f t="shared" si="37"/>
        <v>16.089829541291696</v>
      </c>
      <c r="I40" s="14">
        <f t="shared" si="37"/>
        <v>20.628777333865642</v>
      </c>
      <c r="J40" s="14">
        <f t="shared" si="37"/>
        <v>17.318830515609648</v>
      </c>
      <c r="K40" s="14">
        <f t="shared" si="37"/>
        <v>19.8130291879922</v>
      </c>
      <c r="L40" s="14">
        <f t="shared" si="37"/>
        <v>18.340941491315387</v>
      </c>
      <c r="M40" s="14">
        <f t="shared" si="37"/>
        <v>16.349860105108593</v>
      </c>
      <c r="N40" s="22"/>
    </row>
    <row r="41" spans="1:14" ht="16.5" customHeight="1">
      <c r="A41" s="68" t="s">
        <v>39</v>
      </c>
      <c r="B41" s="72">
        <f>B20/B16*100</f>
        <v>10.246735555448746</v>
      </c>
      <c r="C41" s="72">
        <f>C20/C16*100</f>
        <v>6.1351197852835337</v>
      </c>
      <c r="D41" s="72">
        <f>D20/D16*100</f>
        <v>5.534923384664701</v>
      </c>
      <c r="E41" s="72">
        <f t="shared" ref="E41:M41" si="38">E20/E15*100</f>
        <v>2.2235652449479044</v>
      </c>
      <c r="F41" s="72">
        <f t="shared" si="38"/>
        <v>3.0051976181593796</v>
      </c>
      <c r="G41" s="72">
        <f t="shared" si="38"/>
        <v>4.5647773291201998</v>
      </c>
      <c r="H41" s="72">
        <f t="shared" si="38"/>
        <v>3.2715266090615645</v>
      </c>
      <c r="I41" s="72">
        <f t="shared" si="38"/>
        <v>2.3989501969446949</v>
      </c>
      <c r="J41" s="72">
        <f t="shared" si="38"/>
        <v>3.1824172346730593</v>
      </c>
      <c r="K41" s="72">
        <f t="shared" si="38"/>
        <v>2.717349654600234</v>
      </c>
      <c r="L41" s="72">
        <f t="shared" si="38"/>
        <v>2.1002239725837546</v>
      </c>
      <c r="M41" s="72">
        <f t="shared" si="38"/>
        <v>3.4377361695765551</v>
      </c>
      <c r="N41" s="22"/>
    </row>
    <row r="42" spans="1:14" ht="16.5" customHeight="1">
      <c r="A42" s="63" t="s">
        <v>19</v>
      </c>
      <c r="B42" s="71">
        <f t="shared" ref="B42:G42" si="39">B21/B14*100</f>
        <v>4.2596125090765984</v>
      </c>
      <c r="C42" s="71">
        <f t="shared" si="39"/>
        <v>1.841611071047947</v>
      </c>
      <c r="D42" s="71">
        <f t="shared" si="39"/>
        <v>1.6755901673577027</v>
      </c>
      <c r="E42" s="71">
        <f t="shared" si="39"/>
        <v>0.87781865709973872</v>
      </c>
      <c r="F42" s="71">
        <f t="shared" si="39"/>
        <v>1.1746261624343326</v>
      </c>
      <c r="G42" s="71">
        <f t="shared" si="39"/>
        <v>2.59742484165373</v>
      </c>
      <c r="H42" s="71">
        <f t="shared" ref="H42:I42" si="40">H21/H14*100</f>
        <v>1.2628516290358001</v>
      </c>
      <c r="I42" s="71">
        <f t="shared" si="40"/>
        <v>1.1581257996559939</v>
      </c>
      <c r="J42" s="71">
        <f t="shared" ref="J42:M42" si="41">J21/J14*100</f>
        <v>1.0257817137509428</v>
      </c>
      <c r="K42" s="71">
        <f t="shared" si="41"/>
        <v>0.9598537921496566</v>
      </c>
      <c r="L42" s="71">
        <f t="shared" si="41"/>
        <v>1.5409464207340993</v>
      </c>
      <c r="M42" s="71">
        <f t="shared" si="41"/>
        <v>1.3498011713032267</v>
      </c>
      <c r="N42" s="22"/>
    </row>
    <row r="43" spans="1:14" ht="16.5" customHeight="1">
      <c r="A43" s="61" t="s">
        <v>45</v>
      </c>
      <c r="B43" s="62">
        <f t="shared" ref="B43:G43" si="42">B27+B35</f>
        <v>100.00000000000001</v>
      </c>
      <c r="C43" s="62">
        <f t="shared" si="42"/>
        <v>100</v>
      </c>
      <c r="D43" s="62">
        <f t="shared" si="42"/>
        <v>100</v>
      </c>
      <c r="E43" s="62">
        <f t="shared" si="42"/>
        <v>100</v>
      </c>
      <c r="F43" s="62">
        <f t="shared" si="42"/>
        <v>100</v>
      </c>
      <c r="G43" s="62">
        <f t="shared" si="42"/>
        <v>100.00000000000001</v>
      </c>
      <c r="H43" s="62">
        <f t="shared" ref="H43:I43" si="43">H27+H35</f>
        <v>100</v>
      </c>
      <c r="I43" s="62">
        <f t="shared" si="43"/>
        <v>99.999999999999986</v>
      </c>
      <c r="J43" s="62">
        <f t="shared" ref="J43:M43" si="44">J27+J35</f>
        <v>100.00000000000001</v>
      </c>
      <c r="K43" s="62">
        <f t="shared" si="44"/>
        <v>100</v>
      </c>
      <c r="L43" s="62">
        <f t="shared" si="44"/>
        <v>100</v>
      </c>
      <c r="M43" s="62">
        <f t="shared" si="44"/>
        <v>100</v>
      </c>
      <c r="N43" s="21"/>
    </row>
    <row r="44" spans="1:14" ht="15.75" customHeight="1">
      <c r="A44" s="13" t="s">
        <v>20</v>
      </c>
      <c r="B44" s="48"/>
      <c r="C44" s="48"/>
      <c r="D44" s="25"/>
      <c r="E44" s="25"/>
      <c r="F44" s="25"/>
      <c r="G44" s="25"/>
      <c r="H44" s="25"/>
      <c r="I44" s="25"/>
      <c r="J44" s="25"/>
    </row>
    <row r="45" spans="1:14" ht="15.75" customHeight="1">
      <c r="A45" s="13" t="s">
        <v>21</v>
      </c>
      <c r="B45" s="49"/>
    </row>
    <row r="46" spans="1:14" ht="15.75" customHeight="1">
      <c r="A46" s="13" t="s">
        <v>22</v>
      </c>
    </row>
    <row r="47" spans="1:14" ht="28.5" customHeight="1">
      <c r="A47" s="74" t="s">
        <v>54</v>
      </c>
    </row>
    <row r="50" spans="2:14">
      <c r="B50" s="11"/>
      <c r="C50" s="11"/>
      <c r="D50" s="11"/>
      <c r="G50" s="8"/>
    </row>
    <row r="51" spans="2:14">
      <c r="G51" s="8"/>
    </row>
    <row r="52" spans="2:14">
      <c r="B52" s="11"/>
      <c r="C52" s="11"/>
      <c r="D52" s="11"/>
    </row>
    <row r="54" spans="2:14">
      <c r="B54" s="11"/>
      <c r="C54" s="11"/>
      <c r="D54" s="11"/>
    </row>
    <row r="55" spans="2:14">
      <c r="E55" s="9"/>
      <c r="F55" s="8"/>
      <c r="G55" s="9"/>
      <c r="H55" s="9"/>
    </row>
    <row r="56" spans="2:14">
      <c r="B56" s="11"/>
      <c r="C56" s="11"/>
      <c r="D56" s="11"/>
    </row>
    <row r="57" spans="2:14">
      <c r="J57" s="13"/>
      <c r="K57" s="13"/>
      <c r="L57" s="13"/>
    </row>
    <row r="58" spans="2:14">
      <c r="B58" s="11"/>
      <c r="C58" s="11"/>
      <c r="D58" s="11"/>
    </row>
    <row r="60" spans="2:14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3" spans="2:14">
      <c r="J63" s="13"/>
      <c r="K63" s="13"/>
      <c r="L63" s="13"/>
    </row>
  </sheetData>
  <mergeCells count="7">
    <mergeCell ref="B25:M25"/>
    <mergeCell ref="B4:M4"/>
    <mergeCell ref="A1:M1"/>
    <mergeCell ref="B3:M3"/>
    <mergeCell ref="B24:M24"/>
    <mergeCell ref="A3:A5"/>
    <mergeCell ref="A24:A26"/>
  </mergeCells>
  <phoneticPr fontId="12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75" orientation="landscape" verticalDpi="300" r:id="rId1"/>
  <headerFooter alignWithMargins="0">
    <oddHeader>&amp;L&amp;"Bookman Old Style,Regular"&amp;14&amp;UMagyar Nemzeti Bank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2.75"/>
  <cols>
    <col min="1" max="1" width="52.7109375" style="13" customWidth="1"/>
    <col min="2" max="2" width="24.28515625" style="13" customWidth="1"/>
    <col min="3" max="3" width="17.140625" style="13" customWidth="1"/>
    <col min="4" max="4" width="16.42578125" style="13" customWidth="1"/>
    <col min="5" max="5" width="17.140625" style="13" customWidth="1"/>
    <col min="6" max="6" width="15" style="13" customWidth="1"/>
    <col min="7" max="7" width="15.140625" style="13" customWidth="1"/>
    <col min="8" max="8" width="15.7109375" style="13" bestFit="1" customWidth="1"/>
    <col min="9" max="9" width="18.140625" style="13" customWidth="1"/>
    <col min="10" max="10" width="21.28515625" style="8" customWidth="1"/>
    <col min="11" max="12" width="15.140625" style="8" bestFit="1" customWidth="1"/>
    <col min="13" max="13" width="15.5703125" style="13" bestFit="1" customWidth="1"/>
    <col min="14" max="15" width="23.5703125" style="13" customWidth="1"/>
    <col min="16" max="16" width="16.5703125" style="13" customWidth="1"/>
    <col min="17" max="17" width="14.7109375" style="13" customWidth="1"/>
    <col min="18" max="18" width="13.140625" style="13" bestFit="1" customWidth="1"/>
    <col min="19" max="19" width="16.42578125" style="13" bestFit="1" customWidth="1"/>
    <col min="20" max="21" width="14.28515625" style="13" bestFit="1" customWidth="1"/>
    <col min="22" max="16384" width="9.140625" style="13"/>
  </cols>
  <sheetData>
    <row r="1" spans="1:21" ht="23.25">
      <c r="A1" s="85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28"/>
      <c r="O1" s="28"/>
      <c r="P1" s="28"/>
    </row>
    <row r="2" spans="1:21" s="34" customFormat="1" ht="18" customHeight="1">
      <c r="A2" s="29"/>
      <c r="B2" s="30"/>
      <c r="C2" s="30"/>
      <c r="D2" s="30"/>
      <c r="E2" s="2"/>
      <c r="F2" s="2"/>
      <c r="G2" s="2"/>
      <c r="H2" s="30"/>
      <c r="I2" s="30"/>
      <c r="J2" s="31"/>
      <c r="K2" s="32"/>
      <c r="L2" s="32"/>
      <c r="M2" s="33"/>
      <c r="N2" s="27"/>
      <c r="O2" s="27"/>
      <c r="P2" s="27"/>
    </row>
    <row r="3" spans="1:21" ht="16.5" customHeight="1">
      <c r="A3" s="87"/>
      <c r="B3" s="86" t="s">
        <v>44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21" ht="16.5" customHeight="1">
      <c r="A4" s="82"/>
      <c r="B4" s="76" t="s">
        <v>51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Q4" s="11"/>
    </row>
    <row r="5" spans="1:21" ht="16.5" customHeight="1">
      <c r="A5" s="82"/>
      <c r="B5" s="64" t="s">
        <v>4</v>
      </c>
      <c r="C5" s="64" t="s">
        <v>5</v>
      </c>
      <c r="D5" s="64" t="s">
        <v>6</v>
      </c>
      <c r="E5" s="64" t="s">
        <v>7</v>
      </c>
      <c r="F5" s="65" t="s">
        <v>8</v>
      </c>
      <c r="G5" s="64" t="s">
        <v>9</v>
      </c>
      <c r="H5" s="64" t="s">
        <v>10</v>
      </c>
      <c r="I5" s="64" t="s">
        <v>23</v>
      </c>
      <c r="J5" s="59" t="s">
        <v>0</v>
      </c>
      <c r="K5" s="65" t="s">
        <v>1</v>
      </c>
      <c r="L5" s="58" t="s">
        <v>2</v>
      </c>
      <c r="M5" s="64" t="s">
        <v>3</v>
      </c>
    </row>
    <row r="6" spans="1:21" s="35" customFormat="1" ht="16.5" customHeight="1">
      <c r="A6" s="66" t="s">
        <v>11</v>
      </c>
      <c r="B6" s="67">
        <f>SUM(B7:B13)</f>
        <v>19754441</v>
      </c>
      <c r="C6" s="67">
        <f t="shared" ref="C6:D6" si="0">SUM(C7:C13)</f>
        <v>20045203</v>
      </c>
      <c r="D6" s="67">
        <f t="shared" si="0"/>
        <v>21262935</v>
      </c>
      <c r="E6" s="67">
        <f t="shared" ref="E6:L6" si="1">SUM(E7:E13)</f>
        <v>20617232</v>
      </c>
      <c r="F6" s="67">
        <f t="shared" si="1"/>
        <v>21664126</v>
      </c>
      <c r="G6" s="67">
        <f t="shared" si="1"/>
        <v>21239843</v>
      </c>
      <c r="H6" s="67">
        <f t="shared" si="1"/>
        <v>21665382</v>
      </c>
      <c r="I6" s="67">
        <f t="shared" si="1"/>
        <v>20517531</v>
      </c>
      <c r="J6" s="67">
        <f t="shared" si="1"/>
        <v>20525417</v>
      </c>
      <c r="K6" s="67">
        <f t="shared" si="1"/>
        <v>24692405</v>
      </c>
      <c r="L6" s="67">
        <f t="shared" si="1"/>
        <v>20737390</v>
      </c>
      <c r="M6" s="67">
        <f t="shared" ref="M6" si="2">SUM(M7:M13)</f>
        <v>22165267</v>
      </c>
      <c r="N6" s="27"/>
      <c r="O6" s="27"/>
      <c r="P6" s="27"/>
      <c r="S6" s="36"/>
    </row>
    <row r="7" spans="1:21" ht="16.5" customHeight="1">
      <c r="A7" s="68" t="s">
        <v>12</v>
      </c>
      <c r="B7" s="57">
        <v>11311774</v>
      </c>
      <c r="C7" s="57">
        <v>11878587</v>
      </c>
      <c r="D7" s="57">
        <v>12668954</v>
      </c>
      <c r="E7" s="57">
        <f>11993461+1239+122</f>
        <v>11994822</v>
      </c>
      <c r="F7" s="57">
        <v>13006539</v>
      </c>
      <c r="G7" s="57">
        <v>12431424</v>
      </c>
      <c r="H7" s="57">
        <v>13056126</v>
      </c>
      <c r="I7" s="57">
        <v>12116881</v>
      </c>
      <c r="J7" s="57">
        <v>12375631</v>
      </c>
      <c r="K7" s="57">
        <v>13822411</v>
      </c>
      <c r="L7" s="57">
        <v>12561386</v>
      </c>
      <c r="M7" s="57">
        <v>13088997</v>
      </c>
      <c r="N7" s="27"/>
      <c r="O7" s="27"/>
      <c r="P7" s="27"/>
      <c r="Q7" s="15"/>
      <c r="R7" s="16"/>
      <c r="S7" s="16"/>
    </row>
    <row r="8" spans="1:21" ht="16.5" customHeight="1">
      <c r="A8" s="68" t="s">
        <v>53</v>
      </c>
      <c r="B8" s="57">
        <v>24</v>
      </c>
      <c r="C8" s="57">
        <v>22</v>
      </c>
      <c r="D8" s="57">
        <v>22</v>
      </c>
      <c r="E8" s="57">
        <f>21</f>
        <v>21</v>
      </c>
      <c r="F8" s="57">
        <v>23</v>
      </c>
      <c r="G8" s="57">
        <v>21</v>
      </c>
      <c r="H8" s="57">
        <v>2</v>
      </c>
      <c r="I8" s="57">
        <v>0</v>
      </c>
      <c r="J8" s="57">
        <v>0</v>
      </c>
      <c r="K8" s="57">
        <v>1</v>
      </c>
      <c r="L8" s="57">
        <v>0</v>
      </c>
      <c r="M8" s="57">
        <v>0</v>
      </c>
      <c r="N8" s="27"/>
      <c r="O8" s="27"/>
      <c r="P8" s="27"/>
      <c r="Q8" s="15"/>
      <c r="R8" s="17"/>
      <c r="S8" s="17"/>
    </row>
    <row r="9" spans="1:21" ht="16.5" customHeight="1">
      <c r="A9" s="68" t="s">
        <v>13</v>
      </c>
      <c r="B9" s="57">
        <v>4519190</v>
      </c>
      <c r="C9" s="57">
        <v>4757020</v>
      </c>
      <c r="D9" s="57">
        <v>5098116</v>
      </c>
      <c r="E9" s="57">
        <f>5034315</f>
        <v>5034315</v>
      </c>
      <c r="F9" s="57">
        <v>5120582</v>
      </c>
      <c r="G9" s="57">
        <v>5179624</v>
      </c>
      <c r="H9" s="57">
        <v>4993569</v>
      </c>
      <c r="I9" s="57">
        <v>5090059</v>
      </c>
      <c r="J9" s="57">
        <v>4833685</v>
      </c>
      <c r="K9" s="57">
        <v>6820988</v>
      </c>
      <c r="L9" s="57">
        <v>5073684</v>
      </c>
      <c r="M9" s="57">
        <v>5643474</v>
      </c>
      <c r="N9" s="27"/>
      <c r="O9" s="27"/>
      <c r="P9" s="27"/>
      <c r="Q9" s="15"/>
      <c r="R9" s="17"/>
      <c r="S9" s="17"/>
    </row>
    <row r="10" spans="1:21" ht="16.5" customHeight="1">
      <c r="A10" s="68" t="s">
        <v>14</v>
      </c>
      <c r="B10" s="57">
        <v>3298331</v>
      </c>
      <c r="C10" s="57">
        <v>2720519</v>
      </c>
      <c r="D10" s="57">
        <v>2650475</v>
      </c>
      <c r="E10" s="57">
        <f>2858426</f>
        <v>2858426</v>
      </c>
      <c r="F10" s="57">
        <v>2693075</v>
      </c>
      <c r="G10" s="57">
        <v>2598847</v>
      </c>
      <c r="H10" s="57">
        <v>2888252</v>
      </c>
      <c r="I10" s="57">
        <v>2621528</v>
      </c>
      <c r="J10" s="57">
        <v>2644330</v>
      </c>
      <c r="K10" s="57">
        <v>2948937</v>
      </c>
      <c r="L10" s="57">
        <v>2771342</v>
      </c>
      <c r="M10" s="57">
        <v>2729193</v>
      </c>
      <c r="N10" s="27"/>
      <c r="O10" s="27"/>
      <c r="P10" s="27"/>
      <c r="Q10" s="15"/>
      <c r="R10" s="17"/>
      <c r="S10" s="17"/>
    </row>
    <row r="11" spans="1:21" ht="16.5" customHeight="1">
      <c r="A11" s="68" t="s">
        <v>15</v>
      </c>
      <c r="B11" s="12">
        <v>85608</v>
      </c>
      <c r="C11" s="12">
        <v>101939</v>
      </c>
      <c r="D11" s="12">
        <v>99730</v>
      </c>
      <c r="E11" s="12">
        <f>104485+25</f>
        <v>104510</v>
      </c>
      <c r="F11" s="12">
        <v>125417</v>
      </c>
      <c r="G11" s="12">
        <v>116902</v>
      </c>
      <c r="H11" s="12">
        <v>108583</v>
      </c>
      <c r="I11" s="12">
        <v>95940</v>
      </c>
      <c r="J11" s="12">
        <v>97732</v>
      </c>
      <c r="K11" s="12">
        <v>133003</v>
      </c>
      <c r="L11" s="12">
        <v>118103</v>
      </c>
      <c r="M11" s="12">
        <v>77003</v>
      </c>
      <c r="N11" s="27"/>
      <c r="O11" s="27"/>
      <c r="P11" s="27"/>
      <c r="Q11" s="15"/>
      <c r="R11" s="17"/>
      <c r="S11" s="17"/>
    </row>
    <row r="12" spans="1:21" ht="16.5" customHeight="1">
      <c r="A12" s="68" t="s">
        <v>16</v>
      </c>
      <c r="B12" s="57">
        <v>22997</v>
      </c>
      <c r="C12" s="57">
        <v>21001</v>
      </c>
      <c r="D12" s="57">
        <v>21594</v>
      </c>
      <c r="E12" s="57">
        <f>20686</f>
        <v>20686</v>
      </c>
      <c r="F12" s="57">
        <v>21720</v>
      </c>
      <c r="G12" s="57">
        <v>24885</v>
      </c>
      <c r="H12" s="57">
        <v>25916</v>
      </c>
      <c r="I12" s="57">
        <v>20776</v>
      </c>
      <c r="J12" s="57">
        <v>25570</v>
      </c>
      <c r="K12" s="57">
        <v>29586</v>
      </c>
      <c r="L12" s="57">
        <v>21216</v>
      </c>
      <c r="M12" s="57">
        <v>22250</v>
      </c>
      <c r="N12" s="27"/>
      <c r="O12" s="27"/>
      <c r="P12" s="27"/>
      <c r="Q12" s="15"/>
      <c r="R12" s="17"/>
      <c r="S12" s="17"/>
    </row>
    <row r="13" spans="1:21" ht="16.5" customHeight="1">
      <c r="A13" s="68" t="s">
        <v>46</v>
      </c>
      <c r="B13" s="57">
        <v>516517</v>
      </c>
      <c r="C13" s="57">
        <v>566115</v>
      </c>
      <c r="D13" s="57">
        <v>724044</v>
      </c>
      <c r="E13" s="57">
        <f>604452</f>
        <v>604452</v>
      </c>
      <c r="F13" s="57">
        <v>696770</v>
      </c>
      <c r="G13" s="57">
        <v>888140</v>
      </c>
      <c r="H13" s="57">
        <v>592934</v>
      </c>
      <c r="I13" s="57">
        <v>572347</v>
      </c>
      <c r="J13" s="57">
        <v>548469</v>
      </c>
      <c r="K13" s="57">
        <v>937479</v>
      </c>
      <c r="L13" s="57">
        <v>191659</v>
      </c>
      <c r="M13" s="57">
        <v>604350</v>
      </c>
      <c r="N13" s="27"/>
      <c r="O13" s="27"/>
      <c r="P13" s="27"/>
      <c r="Q13" s="15"/>
      <c r="R13" s="17"/>
      <c r="S13" s="17"/>
    </row>
    <row r="14" spans="1:21" ht="16.5" customHeight="1">
      <c r="A14" s="66" t="s">
        <v>17</v>
      </c>
      <c r="B14" s="58">
        <f>B15+B21</f>
        <v>157938</v>
      </c>
      <c r="C14" s="58">
        <f t="shared" ref="C14:M14" si="3">C15+C21</f>
        <v>154146</v>
      </c>
      <c r="D14" s="58">
        <f>D15+D21</f>
        <v>160668</v>
      </c>
      <c r="E14" s="58">
        <f t="shared" si="3"/>
        <v>151561</v>
      </c>
      <c r="F14" s="58">
        <f t="shared" si="3"/>
        <v>171204</v>
      </c>
      <c r="G14" s="58">
        <f t="shared" si="3"/>
        <v>167359</v>
      </c>
      <c r="H14" s="58">
        <f t="shared" si="3"/>
        <v>172124</v>
      </c>
      <c r="I14" s="58">
        <f t="shared" si="3"/>
        <v>166838</v>
      </c>
      <c r="J14" s="58">
        <f t="shared" si="3"/>
        <v>163228</v>
      </c>
      <c r="K14" s="58">
        <f t="shared" si="3"/>
        <v>175622</v>
      </c>
      <c r="L14" s="58">
        <f t="shared" si="3"/>
        <v>165664</v>
      </c>
      <c r="M14" s="58">
        <f t="shared" si="3"/>
        <v>161114</v>
      </c>
      <c r="N14" s="27"/>
      <c r="O14" s="27"/>
      <c r="P14" s="27"/>
      <c r="Q14" s="27"/>
      <c r="R14" s="17"/>
      <c r="S14" s="17"/>
    </row>
    <row r="15" spans="1:21" s="35" customFormat="1" ht="16.5" customHeight="1">
      <c r="A15" s="66" t="s">
        <v>25</v>
      </c>
      <c r="B15" s="58">
        <v>127369</v>
      </c>
      <c r="C15" s="58">
        <v>121642</v>
      </c>
      <c r="D15" s="58">
        <v>126482</v>
      </c>
      <c r="E15" s="58">
        <v>117572</v>
      </c>
      <c r="F15" s="58">
        <v>136888</v>
      </c>
      <c r="G15" s="58">
        <v>131027</v>
      </c>
      <c r="H15" s="58">
        <v>137214</v>
      </c>
      <c r="I15" s="58">
        <v>133756</v>
      </c>
      <c r="J15" s="58">
        <v>128043</v>
      </c>
      <c r="K15" s="58">
        <v>140121</v>
      </c>
      <c r="L15" s="58">
        <v>130995</v>
      </c>
      <c r="M15" s="58">
        <v>125346</v>
      </c>
      <c r="N15" s="27"/>
      <c r="O15" s="27"/>
      <c r="P15" s="27"/>
      <c r="Q15" s="27"/>
      <c r="R15" s="17"/>
      <c r="S15" s="17"/>
      <c r="T15" s="3"/>
      <c r="U15" s="3"/>
    </row>
    <row r="16" spans="1:21" ht="16.5" customHeight="1">
      <c r="A16" s="68" t="s">
        <v>36</v>
      </c>
      <c r="B16" s="12">
        <v>58756</v>
      </c>
      <c r="C16" s="12">
        <v>52576</v>
      </c>
      <c r="D16" s="12">
        <v>53826</v>
      </c>
      <c r="E16" s="12">
        <v>49763</v>
      </c>
      <c r="F16" s="12">
        <v>58334</v>
      </c>
      <c r="G16" s="12">
        <v>57627</v>
      </c>
      <c r="H16" s="12">
        <v>53433</v>
      </c>
      <c r="I16" s="12">
        <v>50760</v>
      </c>
      <c r="J16" s="12">
        <v>50171</v>
      </c>
      <c r="K16" s="12">
        <v>53333</v>
      </c>
      <c r="L16" s="12">
        <v>50086</v>
      </c>
      <c r="M16" s="12">
        <v>48372</v>
      </c>
      <c r="N16" s="27"/>
      <c r="O16" s="27"/>
      <c r="P16" s="37"/>
      <c r="Q16" s="38"/>
      <c r="R16" s="39"/>
      <c r="S16" s="8"/>
    </row>
    <row r="17" spans="1:19" ht="16.5" customHeight="1">
      <c r="A17" s="68" t="s">
        <v>33</v>
      </c>
      <c r="B17" s="12">
        <v>17256</v>
      </c>
      <c r="C17" s="12">
        <v>17630</v>
      </c>
      <c r="D17" s="12">
        <v>15925</v>
      </c>
      <c r="E17" s="12">
        <v>14937</v>
      </c>
      <c r="F17" s="12">
        <v>14993</v>
      </c>
      <c r="G17" s="12">
        <v>14944</v>
      </c>
      <c r="H17" s="12">
        <v>24842</v>
      </c>
      <c r="I17" s="12">
        <v>25244</v>
      </c>
      <c r="J17" s="12">
        <v>22631</v>
      </c>
      <c r="K17" s="12">
        <v>26244</v>
      </c>
      <c r="L17" s="12">
        <v>24299</v>
      </c>
      <c r="M17" s="12">
        <v>22198</v>
      </c>
      <c r="N17" s="27"/>
      <c r="O17" s="27"/>
      <c r="P17" s="27"/>
      <c r="R17" s="39"/>
      <c r="S17" s="40"/>
    </row>
    <row r="18" spans="1:19" ht="16.5" customHeight="1">
      <c r="A18" s="68" t="s">
        <v>34</v>
      </c>
      <c r="B18" s="12">
        <v>46982</v>
      </c>
      <c r="C18" s="12">
        <v>47089</v>
      </c>
      <c r="D18" s="12">
        <v>52582</v>
      </c>
      <c r="E18" s="12">
        <v>49345</v>
      </c>
      <c r="F18" s="12">
        <v>59538</v>
      </c>
      <c r="G18" s="12">
        <v>54651</v>
      </c>
      <c r="H18" s="12">
        <v>54740</v>
      </c>
      <c r="I18" s="12">
        <v>53175</v>
      </c>
      <c r="J18" s="12">
        <v>50818</v>
      </c>
      <c r="K18" s="12">
        <v>56211</v>
      </c>
      <c r="L18" s="12">
        <v>52603</v>
      </c>
      <c r="M18" s="12">
        <v>51033</v>
      </c>
      <c r="N18" s="27"/>
      <c r="O18" s="27"/>
      <c r="P18" s="27"/>
      <c r="Q18" s="11"/>
      <c r="R18" s="8"/>
    </row>
    <row r="19" spans="1:19" ht="16.5" customHeight="1">
      <c r="A19" s="60" t="s">
        <v>48</v>
      </c>
      <c r="B19" s="12">
        <v>339</v>
      </c>
      <c r="C19" s="12">
        <v>389</v>
      </c>
      <c r="D19" s="12">
        <v>310</v>
      </c>
      <c r="E19" s="12">
        <v>315</v>
      </c>
      <c r="F19" s="12">
        <v>402</v>
      </c>
      <c r="G19" s="12">
        <v>318</v>
      </c>
      <c r="H19" s="12">
        <v>318</v>
      </c>
      <c r="I19" s="12">
        <v>408</v>
      </c>
      <c r="J19" s="12">
        <v>329</v>
      </c>
      <c r="K19" s="12">
        <v>406</v>
      </c>
      <c r="L19" s="12">
        <v>330</v>
      </c>
      <c r="M19" s="12">
        <v>333</v>
      </c>
      <c r="N19" s="27"/>
      <c r="O19" s="27"/>
      <c r="P19" s="27"/>
    </row>
    <row r="20" spans="1:19" ht="16.5" customHeight="1">
      <c r="A20" s="68" t="s">
        <v>35</v>
      </c>
      <c r="B20" s="12">
        <f t="shared" ref="B20:H20" si="4">+B15-SUM(B16:B19)</f>
        <v>4036</v>
      </c>
      <c r="C20" s="12">
        <f t="shared" si="4"/>
        <v>3958</v>
      </c>
      <c r="D20" s="12">
        <f t="shared" si="4"/>
        <v>3839</v>
      </c>
      <c r="E20" s="12">
        <f t="shared" si="4"/>
        <v>3212</v>
      </c>
      <c r="F20" s="12">
        <f t="shared" si="4"/>
        <v>3621</v>
      </c>
      <c r="G20" s="12">
        <f t="shared" si="4"/>
        <v>3487</v>
      </c>
      <c r="H20" s="12">
        <f t="shared" si="4"/>
        <v>3881</v>
      </c>
      <c r="I20" s="12">
        <f>+I15-SUM(I16:I19)</f>
        <v>4169</v>
      </c>
      <c r="J20" s="12">
        <f>+J15-SUM(J16:J19)</f>
        <v>4094</v>
      </c>
      <c r="K20" s="12">
        <f t="shared" ref="K20:M20" si="5">+K15-SUM(K16:K19)</f>
        <v>3927</v>
      </c>
      <c r="L20" s="12">
        <f t="shared" si="5"/>
        <v>3677</v>
      </c>
      <c r="M20" s="12">
        <f t="shared" si="5"/>
        <v>3410</v>
      </c>
      <c r="N20" s="27"/>
      <c r="O20" s="27"/>
      <c r="P20" s="27"/>
      <c r="Q20" s="27"/>
    </row>
    <row r="21" spans="1:19" s="35" customFormat="1" ht="16.5" customHeight="1">
      <c r="A21" s="66" t="s">
        <v>24</v>
      </c>
      <c r="B21" s="58">
        <v>30569</v>
      </c>
      <c r="C21" s="58">
        <v>32504</v>
      </c>
      <c r="D21" s="58">
        <v>34186</v>
      </c>
      <c r="E21" s="12">
        <v>33989</v>
      </c>
      <c r="F21" s="12">
        <v>34316</v>
      </c>
      <c r="G21" s="12">
        <v>36332</v>
      </c>
      <c r="H21" s="12">
        <v>34910</v>
      </c>
      <c r="I21" s="12">
        <v>33082</v>
      </c>
      <c r="J21" s="12">
        <v>35185</v>
      </c>
      <c r="K21" s="12">
        <v>35501</v>
      </c>
      <c r="L21" s="12">
        <v>34669</v>
      </c>
      <c r="M21" s="12">
        <v>35768</v>
      </c>
      <c r="N21" s="41"/>
      <c r="O21" s="41"/>
      <c r="P21" s="41"/>
    </row>
    <row r="22" spans="1:19" ht="16.5" customHeight="1">
      <c r="A22" s="69" t="s">
        <v>45</v>
      </c>
      <c r="B22" s="58">
        <f>B14+B6</f>
        <v>19912379</v>
      </c>
      <c r="C22" s="58">
        <f t="shared" ref="C22:M22" si="6">C14+C6</f>
        <v>20199349</v>
      </c>
      <c r="D22" s="58">
        <f t="shared" si="6"/>
        <v>21423603</v>
      </c>
      <c r="E22" s="12">
        <f t="shared" si="6"/>
        <v>20768793</v>
      </c>
      <c r="F22" s="12">
        <f>F14+F6</f>
        <v>21835330</v>
      </c>
      <c r="G22" s="12">
        <f t="shared" si="6"/>
        <v>21407202</v>
      </c>
      <c r="H22" s="12">
        <f t="shared" si="6"/>
        <v>21837506</v>
      </c>
      <c r="I22" s="12">
        <f t="shared" si="6"/>
        <v>20684369</v>
      </c>
      <c r="J22" s="12">
        <f t="shared" si="6"/>
        <v>20688645</v>
      </c>
      <c r="K22" s="12">
        <f>K14+K6</f>
        <v>24868027</v>
      </c>
      <c r="L22" s="12">
        <f t="shared" si="6"/>
        <v>20903054</v>
      </c>
      <c r="M22" s="12">
        <f t="shared" si="6"/>
        <v>22326381</v>
      </c>
      <c r="N22" s="27"/>
      <c r="O22" s="27"/>
      <c r="P22" s="27"/>
      <c r="Q22" s="11"/>
      <c r="S22" s="11"/>
    </row>
    <row r="23" spans="1:19" s="25" customFormat="1" ht="16.5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28"/>
      <c r="O23" s="28"/>
      <c r="P23" s="28"/>
    </row>
    <row r="24" spans="1:19" s="25" customFormat="1" ht="16.5" customHeight="1">
      <c r="A24" s="88"/>
      <c r="B24" s="76" t="s">
        <v>41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9" s="25" customFormat="1" ht="16.5" customHeight="1">
      <c r="A25" s="88"/>
      <c r="B25" s="76" t="s">
        <v>51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9" ht="16.5" customHeight="1">
      <c r="A26" s="88"/>
      <c r="B26" s="65" t="s">
        <v>4</v>
      </c>
      <c r="C26" s="65" t="s">
        <v>5</v>
      </c>
      <c r="D26" s="65" t="s">
        <v>6</v>
      </c>
      <c r="E26" s="65" t="s">
        <v>7</v>
      </c>
      <c r="F26" s="65" t="s">
        <v>8</v>
      </c>
      <c r="G26" s="65" t="s">
        <v>9</v>
      </c>
      <c r="H26" s="65" t="s">
        <v>10</v>
      </c>
      <c r="I26" s="65" t="s">
        <v>23</v>
      </c>
      <c r="J26" s="58" t="s">
        <v>0</v>
      </c>
      <c r="K26" s="65" t="s">
        <v>1</v>
      </c>
      <c r="L26" s="58" t="s">
        <v>2</v>
      </c>
      <c r="M26" s="70" t="s">
        <v>3</v>
      </c>
    </row>
    <row r="27" spans="1:19" ht="16.5" customHeight="1">
      <c r="A27" s="66" t="s">
        <v>11</v>
      </c>
      <c r="B27" s="71">
        <f t="shared" ref="B27:G27" si="7">B6/B22*100</f>
        <v>99.206835104936488</v>
      </c>
      <c r="C27" s="71">
        <f t="shared" si="7"/>
        <v>99.236876396363073</v>
      </c>
      <c r="D27" s="71">
        <f t="shared" si="7"/>
        <v>99.250042114764724</v>
      </c>
      <c r="E27" s="71">
        <f t="shared" si="7"/>
        <v>99.270246470269115</v>
      </c>
      <c r="F27" s="71">
        <f t="shared" si="7"/>
        <v>99.215931245371607</v>
      </c>
      <c r="G27" s="71">
        <f t="shared" si="7"/>
        <v>99.218211702771811</v>
      </c>
      <c r="H27" s="71">
        <f t="shared" ref="H27:I27" si="8">H6/H22*100</f>
        <v>99.211796438659249</v>
      </c>
      <c r="I27" s="71">
        <f t="shared" si="8"/>
        <v>99.193410250996777</v>
      </c>
      <c r="J27" s="71">
        <f t="shared" ref="J27:M27" si="9">J6/J22*100</f>
        <v>99.211026145018195</v>
      </c>
      <c r="K27" s="71">
        <f t="shared" si="9"/>
        <v>99.293783941926719</v>
      </c>
      <c r="L27" s="71">
        <f t="shared" si="9"/>
        <v>99.207465090986219</v>
      </c>
      <c r="M27" s="71">
        <f t="shared" si="9"/>
        <v>99.278369387318079</v>
      </c>
    </row>
    <row r="28" spans="1:19" ht="16.5" customHeight="1">
      <c r="A28" s="68" t="s">
        <v>28</v>
      </c>
      <c r="B28" s="14">
        <f t="shared" ref="B28:G28" si="10">B7/B6*100</f>
        <v>57.261929102423096</v>
      </c>
      <c r="C28" s="14">
        <f t="shared" si="10"/>
        <v>59.259000769411017</v>
      </c>
      <c r="D28" s="14">
        <f t="shared" si="10"/>
        <v>59.582338938627245</v>
      </c>
      <c r="E28" s="14">
        <f t="shared" si="10"/>
        <v>58.178624560270755</v>
      </c>
      <c r="F28" s="14">
        <f t="shared" si="10"/>
        <v>60.037220056788811</v>
      </c>
      <c r="G28" s="14">
        <f t="shared" si="10"/>
        <v>58.5287942100137</v>
      </c>
      <c r="H28" s="14">
        <f t="shared" ref="H28:I28" si="11">H7/H6*100</f>
        <v>60.262616186504346</v>
      </c>
      <c r="I28" s="14">
        <f t="shared" si="11"/>
        <v>59.056233423017609</v>
      </c>
      <c r="J28" s="14">
        <f t="shared" ref="J28:M28" si="12">J7/J6*100</f>
        <v>60.294175752921362</v>
      </c>
      <c r="K28" s="14">
        <f t="shared" si="12"/>
        <v>55.978390926278756</v>
      </c>
      <c r="L28" s="14">
        <f t="shared" si="12"/>
        <v>60.573611240373062</v>
      </c>
      <c r="M28" s="14">
        <f t="shared" si="12"/>
        <v>59.051835468528303</v>
      </c>
    </row>
    <row r="29" spans="1:19" ht="16.5" customHeight="1">
      <c r="A29" s="68" t="s">
        <v>52</v>
      </c>
      <c r="B29" s="14">
        <f t="shared" ref="B29:G29" si="13">B8/B6*100</f>
        <v>1.2149166863289119E-4</v>
      </c>
      <c r="C29" s="14">
        <f t="shared" si="13"/>
        <v>1.0975194414344418E-4</v>
      </c>
      <c r="D29" s="14">
        <f t="shared" si="13"/>
        <v>1.0346643113944523E-4</v>
      </c>
      <c r="E29" s="14">
        <f t="shared" si="13"/>
        <v>1.01856544079244E-4</v>
      </c>
      <c r="F29" s="14">
        <f t="shared" si="13"/>
        <v>1.0616629537697483E-4</v>
      </c>
      <c r="G29" s="14">
        <f t="shared" si="13"/>
        <v>9.887078732173303E-5</v>
      </c>
      <c r="H29" s="14">
        <f t="shared" ref="H29:I29" si="14">H8/H6*100</f>
        <v>9.2313165768321082E-6</v>
      </c>
      <c r="I29" s="14">
        <f t="shared" si="14"/>
        <v>0</v>
      </c>
      <c r="J29" s="14">
        <f t="shared" ref="J29:M29" si="15">J8/J6*100</f>
        <v>0</v>
      </c>
      <c r="K29" s="14">
        <f t="shared" si="15"/>
        <v>4.0498282771564781E-6</v>
      </c>
      <c r="L29" s="14">
        <f t="shared" si="15"/>
        <v>0</v>
      </c>
      <c r="M29" s="14">
        <f t="shared" si="15"/>
        <v>0</v>
      </c>
    </row>
    <row r="30" spans="1:19" ht="16.5" customHeight="1">
      <c r="A30" s="68" t="s">
        <v>29</v>
      </c>
      <c r="B30" s="14">
        <f t="shared" ref="B30:G30" si="16">B9/B6*100</f>
        <v>22.876830582044818</v>
      </c>
      <c r="C30" s="14">
        <f t="shared" si="16"/>
        <v>23.731463333147587</v>
      </c>
      <c r="D30" s="14">
        <f t="shared" si="16"/>
        <v>23.976539457041092</v>
      </c>
      <c r="E30" s="14">
        <f t="shared" si="16"/>
        <v>24.417996557442823</v>
      </c>
      <c r="F30" s="14">
        <f t="shared" si="16"/>
        <v>23.636227004957412</v>
      </c>
      <c r="G30" s="14">
        <f t="shared" si="16"/>
        <v>24.386357281454483</v>
      </c>
      <c r="H30" s="14">
        <f t="shared" ref="H30:I30" si="17">H9/H6*100</f>
        <v>23.048608143627469</v>
      </c>
      <c r="I30" s="14">
        <f t="shared" si="17"/>
        <v>24.808340730665886</v>
      </c>
      <c r="J30" s="14">
        <f t="shared" ref="J30:M30" si="18">J9/J6*100</f>
        <v>23.549752972132065</v>
      </c>
      <c r="K30" s="14">
        <f t="shared" si="18"/>
        <v>27.623830080545009</v>
      </c>
      <c r="L30" s="14">
        <f t="shared" si="18"/>
        <v>24.466357627454563</v>
      </c>
      <c r="M30" s="14">
        <f t="shared" si="18"/>
        <v>25.460888876276567</v>
      </c>
    </row>
    <row r="31" spans="1:19" ht="16.5" customHeight="1">
      <c r="A31" s="68" t="s">
        <v>30</v>
      </c>
      <c r="B31" s="14">
        <f t="shared" ref="B31:G31" si="19">B10/B6*100</f>
        <v>16.696655703899697</v>
      </c>
      <c r="C31" s="14">
        <f t="shared" si="19"/>
        <v>13.571920424053573</v>
      </c>
      <c r="D31" s="14">
        <f t="shared" si="19"/>
        <v>12.465235867014595</v>
      </c>
      <c r="E31" s="14">
        <f t="shared" si="19"/>
        <v>13.864256850774147</v>
      </c>
      <c r="F31" s="14">
        <f t="shared" si="19"/>
        <v>12.431034605319411</v>
      </c>
      <c r="G31" s="14">
        <f t="shared" si="19"/>
        <v>12.235716619939234</v>
      </c>
      <c r="H31" s="14">
        <f t="shared" ref="H31:I31" si="20">H10/H6*100</f>
        <v>13.331184282834247</v>
      </c>
      <c r="I31" s="14">
        <f t="shared" si="20"/>
        <v>12.777014934204315</v>
      </c>
      <c r="J31" s="14">
        <f t="shared" ref="J31:M31" si="21">J10/J6*100</f>
        <v>12.883197452212542</v>
      </c>
      <c r="K31" s="14">
        <f t="shared" si="21"/>
        <v>11.942688450152993</v>
      </c>
      <c r="L31" s="14">
        <f t="shared" si="21"/>
        <v>13.363986499747558</v>
      </c>
      <c r="M31" s="14">
        <f t="shared" si="21"/>
        <v>12.312926345529696</v>
      </c>
    </row>
    <row r="32" spans="1:19" ht="16.5" customHeight="1">
      <c r="A32" s="68" t="s">
        <v>31</v>
      </c>
      <c r="B32" s="14">
        <f t="shared" ref="B32:G32" si="22">B11/B6*100</f>
        <v>0.43336078201352296</v>
      </c>
      <c r="C32" s="14">
        <f t="shared" si="22"/>
        <v>0.50854561063811632</v>
      </c>
      <c r="D32" s="14">
        <f t="shared" si="22"/>
        <v>0.46903214443349428</v>
      </c>
      <c r="E32" s="14">
        <f t="shared" si="22"/>
        <v>0.50690606770103763</v>
      </c>
      <c r="F32" s="14">
        <f t="shared" si="22"/>
        <v>0.57891557683887185</v>
      </c>
      <c r="G32" s="14">
        <f t="shared" si="22"/>
        <v>0.55039013235643974</v>
      </c>
      <c r="H32" s="14">
        <f t="shared" ref="H32:I32" si="23">H11/H6*100</f>
        <v>0.50118202393108047</v>
      </c>
      <c r="I32" s="14">
        <f t="shared" si="23"/>
        <v>0.46760012206147028</v>
      </c>
      <c r="J32" s="14">
        <f t="shared" ref="J32:M32" si="24">J11/J6*100</f>
        <v>0.47615110572418573</v>
      </c>
      <c r="K32" s="14">
        <f t="shared" si="24"/>
        <v>0.53863931034664303</v>
      </c>
      <c r="L32" s="14">
        <f t="shared" si="24"/>
        <v>0.56951718610683399</v>
      </c>
      <c r="M32" s="14">
        <f t="shared" si="24"/>
        <v>0.34740389096147589</v>
      </c>
    </row>
    <row r="33" spans="1:13" ht="16.5" customHeight="1">
      <c r="A33" s="68" t="s">
        <v>32</v>
      </c>
      <c r="B33" s="14">
        <f t="shared" ref="B33:G33" si="25">B12/B6*100</f>
        <v>0.11641432931460829</v>
      </c>
      <c r="C33" s="14">
        <f t="shared" si="25"/>
        <v>0.10476820813438507</v>
      </c>
      <c r="D33" s="14">
        <f t="shared" si="25"/>
        <v>0.10155700518296275</v>
      </c>
      <c r="E33" s="14">
        <f t="shared" si="25"/>
        <v>0.10033354622967817</v>
      </c>
      <c r="F33" s="14">
        <f t="shared" si="25"/>
        <v>0.10025791024295189</v>
      </c>
      <c r="G33" s="14">
        <f t="shared" si="25"/>
        <v>0.11716188297625364</v>
      </c>
      <c r="H33" s="14">
        <f t="shared" ref="H33:I33" si="26">H12/H6*100</f>
        <v>0.11961940020259046</v>
      </c>
      <c r="I33" s="14">
        <f t="shared" si="26"/>
        <v>0.10125974709140198</v>
      </c>
      <c r="J33" s="14">
        <f t="shared" ref="J33:M33" si="27">J12/J6*100</f>
        <v>0.12457724975819007</v>
      </c>
      <c r="K33" s="14">
        <f t="shared" si="27"/>
        <v>0.11981821940795157</v>
      </c>
      <c r="L33" s="14">
        <f t="shared" si="27"/>
        <v>0.1023079567872331</v>
      </c>
      <c r="M33" s="14">
        <f t="shared" si="27"/>
        <v>0.10038227827348077</v>
      </c>
    </row>
    <row r="34" spans="1:13" ht="16.5" customHeight="1">
      <c r="A34" s="68" t="s">
        <v>47</v>
      </c>
      <c r="B34" s="14">
        <f t="shared" ref="B34:G34" si="28">B13/B6*100</f>
        <v>2.6146880086356279</v>
      </c>
      <c r="C34" s="14">
        <f t="shared" si="28"/>
        <v>2.8241919026711777</v>
      </c>
      <c r="D34" s="14">
        <f t="shared" si="28"/>
        <v>3.4051931212694764</v>
      </c>
      <c r="E34" s="14">
        <f t="shared" si="28"/>
        <v>2.9317805610374852</v>
      </c>
      <c r="F34" s="14">
        <f t="shared" si="28"/>
        <v>3.2162386795571631</v>
      </c>
      <c r="G34" s="14">
        <f t="shared" si="28"/>
        <v>4.1814810024725704</v>
      </c>
      <c r="H34" s="14">
        <f t="shared" ref="H34:I34" si="29">H13/H6*100</f>
        <v>2.7367807315836852</v>
      </c>
      <c r="I34" s="14">
        <f t="shared" si="29"/>
        <v>2.7895510429593111</v>
      </c>
      <c r="J34" s="14">
        <f t="shared" ref="J34:M34" si="30">J13/J6*100</f>
        <v>2.672145467251652</v>
      </c>
      <c r="K34" s="14">
        <f t="shared" si="30"/>
        <v>3.7966289634403778</v>
      </c>
      <c r="L34" s="14">
        <f t="shared" si="30"/>
        <v>0.92421948953074629</v>
      </c>
      <c r="M34" s="14">
        <f t="shared" si="30"/>
        <v>2.7265631404304762</v>
      </c>
    </row>
    <row r="35" spans="1:13" ht="16.5" customHeight="1">
      <c r="A35" s="66" t="s">
        <v>17</v>
      </c>
      <c r="B35" s="71">
        <f t="shared" ref="B35:G35" si="31">B14/B22*100</f>
        <v>0.79316489506351795</v>
      </c>
      <c r="C35" s="71">
        <f t="shared" si="31"/>
        <v>0.7631236036369291</v>
      </c>
      <c r="D35" s="71">
        <f t="shared" si="31"/>
        <v>0.74995788523527063</v>
      </c>
      <c r="E35" s="71">
        <f t="shared" si="31"/>
        <v>0.72975352973088037</v>
      </c>
      <c r="F35" s="71">
        <f t="shared" si="31"/>
        <v>0.78406875462839354</v>
      </c>
      <c r="G35" s="71">
        <f t="shared" si="31"/>
        <v>0.78178829722819454</v>
      </c>
      <c r="H35" s="71">
        <f t="shared" ref="H35:I35" si="32">H14/H22*100</f>
        <v>0.78820356134075009</v>
      </c>
      <c r="I35" s="71">
        <f t="shared" si="32"/>
        <v>0.80658974900322078</v>
      </c>
      <c r="J35" s="71">
        <f t="shared" ref="J35:M35" si="33">J14/J22*100</f>
        <v>0.78897385498180284</v>
      </c>
      <c r="K35" s="71">
        <f t="shared" si="33"/>
        <v>0.70621605807328425</v>
      </c>
      <c r="L35" s="71">
        <f t="shared" si="33"/>
        <v>0.79253490901377377</v>
      </c>
      <c r="M35" s="71">
        <f t="shared" si="33"/>
        <v>0.72163061268192097</v>
      </c>
    </row>
    <row r="36" spans="1:13" ht="16.5" customHeight="1">
      <c r="A36" s="1" t="s">
        <v>18</v>
      </c>
      <c r="B36" s="71">
        <f t="shared" ref="B36:G36" si="34">B15/B14*100</f>
        <v>80.644936620699255</v>
      </c>
      <c r="C36" s="71">
        <f t="shared" si="34"/>
        <v>78.913497593190868</v>
      </c>
      <c r="D36" s="71">
        <f t="shared" si="34"/>
        <v>78.722583215077051</v>
      </c>
      <c r="E36" s="71">
        <f t="shared" si="34"/>
        <v>77.574046093652058</v>
      </c>
      <c r="F36" s="71">
        <f t="shared" si="34"/>
        <v>79.956075792621675</v>
      </c>
      <c r="G36" s="71">
        <f t="shared" si="34"/>
        <v>78.290979272103684</v>
      </c>
      <c r="H36" s="71">
        <f t="shared" ref="H36:I36" si="35">H15/H14*100</f>
        <v>79.718110199623524</v>
      </c>
      <c r="I36" s="71">
        <f t="shared" si="35"/>
        <v>80.171184022824534</v>
      </c>
      <c r="J36" s="71">
        <f t="shared" ref="J36:M36" si="36">J15/J14*100</f>
        <v>78.444262013870173</v>
      </c>
      <c r="K36" s="71">
        <f t="shared" si="36"/>
        <v>79.785562173304029</v>
      </c>
      <c r="L36" s="71">
        <f t="shared" si="36"/>
        <v>79.072701371450648</v>
      </c>
      <c r="M36" s="71">
        <f t="shared" si="36"/>
        <v>77.799570490460169</v>
      </c>
    </row>
    <row r="37" spans="1:13" ht="16.5" customHeight="1">
      <c r="A37" s="68" t="s">
        <v>37</v>
      </c>
      <c r="B37" s="14">
        <f t="shared" ref="B37:G37" si="37">B16/B15*100</f>
        <v>46.130534117406903</v>
      </c>
      <c r="C37" s="14">
        <f t="shared" si="37"/>
        <v>43.221913483829596</v>
      </c>
      <c r="D37" s="14">
        <f t="shared" si="37"/>
        <v>42.556253063677048</v>
      </c>
      <c r="E37" s="14">
        <f t="shared" si="37"/>
        <v>42.325553703262678</v>
      </c>
      <c r="F37" s="14">
        <f t="shared" si="37"/>
        <v>42.614400093507101</v>
      </c>
      <c r="G37" s="14">
        <f t="shared" si="37"/>
        <v>43.98101154723836</v>
      </c>
      <c r="H37" s="14">
        <f t="shared" ref="H37:I37" si="38">H16/H15*100</f>
        <v>38.941361668634393</v>
      </c>
      <c r="I37" s="14">
        <f t="shared" si="38"/>
        <v>37.949699452734833</v>
      </c>
      <c r="J37" s="14">
        <f t="shared" ref="J37:M37" si="39">J16/J15*100</f>
        <v>39.182930734206479</v>
      </c>
      <c r="K37" s="14">
        <f t="shared" si="39"/>
        <v>38.062103467717193</v>
      </c>
      <c r="L37" s="14">
        <f t="shared" si="39"/>
        <v>38.235047139203786</v>
      </c>
      <c r="M37" s="14">
        <f t="shared" si="39"/>
        <v>38.590780718969889</v>
      </c>
    </row>
    <row r="38" spans="1:13" ht="16.5" customHeight="1">
      <c r="A38" s="68" t="s">
        <v>40</v>
      </c>
      <c r="B38" s="14">
        <f t="shared" ref="B38:G38" si="40">B17/B15*100</f>
        <v>13.548037591564665</v>
      </c>
      <c r="C38" s="14">
        <f t="shared" si="40"/>
        <v>14.493349336577827</v>
      </c>
      <c r="D38" s="14">
        <f t="shared" si="40"/>
        <v>12.590724371847378</v>
      </c>
      <c r="E38" s="14">
        <f t="shared" si="40"/>
        <v>12.704555506413092</v>
      </c>
      <c r="F38" s="14">
        <f t="shared" si="40"/>
        <v>10.952749693179825</v>
      </c>
      <c r="G38" s="14">
        <f t="shared" si="40"/>
        <v>11.405282880627658</v>
      </c>
      <c r="H38" s="14">
        <f t="shared" ref="H38:I38" si="41">H17/H15*100</f>
        <v>18.104566589415075</v>
      </c>
      <c r="I38" s="14">
        <f t="shared" si="41"/>
        <v>18.873172044618556</v>
      </c>
      <c r="J38" s="14">
        <f t="shared" ref="J38:M38" si="42">J17/J15*100</f>
        <v>17.674531212170912</v>
      </c>
      <c r="K38" s="14">
        <f t="shared" si="42"/>
        <v>18.72952662341833</v>
      </c>
      <c r="L38" s="14">
        <f t="shared" si="42"/>
        <v>18.549562960418335</v>
      </c>
      <c r="M38" s="14">
        <f t="shared" si="42"/>
        <v>17.709380434956042</v>
      </c>
    </row>
    <row r="39" spans="1:13" ht="16.5" customHeight="1">
      <c r="A39" s="68" t="s">
        <v>38</v>
      </c>
      <c r="B39" s="14">
        <f t="shared" ref="B39:G39" si="43">B18/B15*100</f>
        <v>36.886526548846263</v>
      </c>
      <c r="C39" s="14">
        <f t="shared" si="43"/>
        <v>38.711135956330871</v>
      </c>
      <c r="D39" s="14">
        <f t="shared" si="43"/>
        <v>41.572713903954714</v>
      </c>
      <c r="E39" s="14">
        <f t="shared" si="43"/>
        <v>41.970026877147617</v>
      </c>
      <c r="F39" s="14">
        <f t="shared" si="43"/>
        <v>43.49395125942376</v>
      </c>
      <c r="G39" s="14">
        <f t="shared" si="43"/>
        <v>41.70972395002557</v>
      </c>
      <c r="H39" s="14">
        <f t="shared" ref="H39:I39" si="44">H18/H15*100</f>
        <v>39.893888378736861</v>
      </c>
      <c r="I39" s="14">
        <f t="shared" si="44"/>
        <v>39.755225933789887</v>
      </c>
      <c r="J39" s="14">
        <f t="shared" ref="J39:M39" si="45">J18/J15*100</f>
        <v>39.68822973532329</v>
      </c>
      <c r="K39" s="14">
        <f t="shared" si="45"/>
        <v>40.11604256321322</v>
      </c>
      <c r="L39" s="14">
        <f t="shared" si="45"/>
        <v>40.156494522691702</v>
      </c>
      <c r="M39" s="14">
        <f t="shared" si="45"/>
        <v>40.71370446603801</v>
      </c>
    </row>
    <row r="40" spans="1:13" ht="16.5" customHeight="1">
      <c r="A40" s="60" t="s">
        <v>49</v>
      </c>
      <c r="B40" s="14">
        <f t="shared" ref="B40:G40" si="46">B19/B15*100</f>
        <v>0.26615581499422936</v>
      </c>
      <c r="C40" s="14">
        <f t="shared" si="46"/>
        <v>0.31979086170894921</v>
      </c>
      <c r="D40" s="14">
        <f t="shared" si="46"/>
        <v>0.24509416359640104</v>
      </c>
      <c r="E40" s="14">
        <f t="shared" si="46"/>
        <v>0.26792093355560848</v>
      </c>
      <c r="F40" s="14">
        <f t="shared" si="46"/>
        <v>0.2936707381216761</v>
      </c>
      <c r="G40" s="14">
        <f t="shared" si="46"/>
        <v>0.24269806986346323</v>
      </c>
      <c r="H40" s="14">
        <f t="shared" ref="H40:I40" si="47">H19/H15*100</f>
        <v>0.23175477720932267</v>
      </c>
      <c r="I40" s="14">
        <f t="shared" si="47"/>
        <v>0.30503304524656838</v>
      </c>
      <c r="J40" s="14">
        <f t="shared" ref="J40:M40" si="48">J19/J15*100</f>
        <v>0.25694493256171752</v>
      </c>
      <c r="K40" s="14">
        <f t="shared" si="48"/>
        <v>0.28974957358283199</v>
      </c>
      <c r="L40" s="14">
        <f t="shared" si="48"/>
        <v>0.25191801213786785</v>
      </c>
      <c r="M40" s="14">
        <f t="shared" si="48"/>
        <v>0.26566464027571685</v>
      </c>
    </row>
    <row r="41" spans="1:13" ht="16.5" customHeight="1">
      <c r="A41" s="68" t="s">
        <v>50</v>
      </c>
      <c r="B41" s="14">
        <f t="shared" ref="B41:G41" si="49">B20/B15*100</f>
        <v>3.1687459271879339</v>
      </c>
      <c r="C41" s="14">
        <f t="shared" si="49"/>
        <v>3.2538103615527532</v>
      </c>
      <c r="D41" s="14">
        <f t="shared" si="49"/>
        <v>3.0352144969244637</v>
      </c>
      <c r="E41" s="14">
        <f t="shared" si="49"/>
        <v>2.7319429796209982</v>
      </c>
      <c r="F41" s="14">
        <f t="shared" si="49"/>
        <v>2.6452282157676348</v>
      </c>
      <c r="G41" s="14">
        <f t="shared" si="49"/>
        <v>2.6612835522449569</v>
      </c>
      <c r="H41" s="14">
        <f t="shared" ref="H41:I41" si="50">H20/H15*100</f>
        <v>2.8284285860043434</v>
      </c>
      <c r="I41" s="14">
        <f t="shared" si="50"/>
        <v>3.116869523610156</v>
      </c>
      <c r="J41" s="14">
        <f t="shared" ref="J41:M41" si="51">J20/J15*100</f>
        <v>3.1973633857376038</v>
      </c>
      <c r="K41" s="14">
        <f t="shared" si="51"/>
        <v>2.8025777720684268</v>
      </c>
      <c r="L41" s="14">
        <f t="shared" si="51"/>
        <v>2.8069773655483035</v>
      </c>
      <c r="M41" s="14">
        <f t="shared" si="51"/>
        <v>2.7204697397603432</v>
      </c>
    </row>
    <row r="42" spans="1:13" ht="16.5" customHeight="1">
      <c r="A42" s="1" t="s">
        <v>19</v>
      </c>
      <c r="B42" s="71">
        <f t="shared" ref="B42:G42" si="52">B21/B14*100</f>
        <v>19.355063379300738</v>
      </c>
      <c r="C42" s="71">
        <f t="shared" si="52"/>
        <v>21.086502406809128</v>
      </c>
      <c r="D42" s="71">
        <f t="shared" si="52"/>
        <v>21.277416784922949</v>
      </c>
      <c r="E42" s="71">
        <f t="shared" si="52"/>
        <v>22.425953906347939</v>
      </c>
      <c r="F42" s="71">
        <f t="shared" si="52"/>
        <v>20.043924207378332</v>
      </c>
      <c r="G42" s="71">
        <f t="shared" si="52"/>
        <v>21.70902072789632</v>
      </c>
      <c r="H42" s="71">
        <f t="shared" ref="H42:I42" si="53">H21/H14*100</f>
        <v>20.281889800376472</v>
      </c>
      <c r="I42" s="71">
        <f t="shared" si="53"/>
        <v>19.828815977175463</v>
      </c>
      <c r="J42" s="71">
        <f t="shared" ref="J42:M42" si="54">J21/J14*100</f>
        <v>21.555737986129831</v>
      </c>
      <c r="K42" s="71">
        <f t="shared" si="54"/>
        <v>20.214437826695971</v>
      </c>
      <c r="L42" s="71">
        <f t="shared" si="54"/>
        <v>20.927298628549355</v>
      </c>
      <c r="M42" s="71">
        <f t="shared" si="54"/>
        <v>22.200429509539831</v>
      </c>
    </row>
    <row r="43" spans="1:13" ht="16.5" customHeight="1">
      <c r="A43" s="69" t="s">
        <v>45</v>
      </c>
      <c r="B43" s="71">
        <f t="shared" ref="B43:G43" si="55">B27+B35</f>
        <v>100</v>
      </c>
      <c r="C43" s="71">
        <f t="shared" si="55"/>
        <v>100</v>
      </c>
      <c r="D43" s="71">
        <f t="shared" si="55"/>
        <v>100</v>
      </c>
      <c r="E43" s="71">
        <f t="shared" si="55"/>
        <v>100</v>
      </c>
      <c r="F43" s="71">
        <f t="shared" si="55"/>
        <v>100</v>
      </c>
      <c r="G43" s="71">
        <f t="shared" si="55"/>
        <v>100</v>
      </c>
      <c r="H43" s="71">
        <f t="shared" ref="H43:I43" si="56">H27+H35</f>
        <v>100</v>
      </c>
      <c r="I43" s="71">
        <f t="shared" si="56"/>
        <v>100</v>
      </c>
      <c r="J43" s="71">
        <f t="shared" ref="J43:M43" si="57">J27+J35</f>
        <v>100</v>
      </c>
      <c r="K43" s="71">
        <f t="shared" si="57"/>
        <v>100</v>
      </c>
      <c r="L43" s="71">
        <f t="shared" si="57"/>
        <v>99.999999999999986</v>
      </c>
      <c r="M43" s="71">
        <f t="shared" si="57"/>
        <v>100</v>
      </c>
    </row>
    <row r="44" spans="1:13" ht="15.75" customHeight="1">
      <c r="A44" s="28" t="s">
        <v>20</v>
      </c>
      <c r="B44" s="44"/>
      <c r="C44" s="44"/>
      <c r="D44" s="4"/>
      <c r="E44" s="4"/>
      <c r="F44" s="5"/>
      <c r="G44" s="4"/>
      <c r="H44" s="4"/>
      <c r="J44" s="13"/>
      <c r="K44" s="13"/>
    </row>
    <row r="45" spans="1:13" ht="15.75" customHeight="1">
      <c r="A45" s="28" t="s">
        <v>21</v>
      </c>
      <c r="B45" s="4"/>
      <c r="C45" s="4"/>
      <c r="D45" s="4"/>
      <c r="E45" s="4"/>
      <c r="F45" s="5"/>
      <c r="G45" s="4"/>
      <c r="H45" s="4"/>
      <c r="J45" s="13"/>
      <c r="K45" s="13"/>
    </row>
    <row r="46" spans="1:13" ht="15.75" customHeight="1">
      <c r="A46" s="28" t="s">
        <v>22</v>
      </c>
      <c r="B46" s="4"/>
      <c r="C46" s="4"/>
      <c r="D46" s="4"/>
      <c r="E46" s="4"/>
      <c r="F46" s="5"/>
      <c r="G46" s="4"/>
      <c r="H46" s="4"/>
    </row>
    <row r="47" spans="1:13" ht="31.5" customHeight="1">
      <c r="A47" s="75" t="s">
        <v>55</v>
      </c>
      <c r="B47" s="4"/>
      <c r="C47" s="4"/>
      <c r="D47" s="4"/>
      <c r="E47" s="4"/>
      <c r="F47" s="5"/>
      <c r="G47" s="4"/>
      <c r="H47" s="4"/>
    </row>
    <row r="48" spans="1:13" ht="15.75">
      <c r="A48" s="4"/>
      <c r="B48" s="4"/>
      <c r="C48" s="4"/>
      <c r="D48" s="4"/>
      <c r="E48" s="4"/>
      <c r="F48" s="5"/>
      <c r="G48" s="4"/>
      <c r="H48" s="4"/>
    </row>
  </sheetData>
  <mergeCells count="7">
    <mergeCell ref="A1:M1"/>
    <mergeCell ref="B4:M4"/>
    <mergeCell ref="B3:M3"/>
    <mergeCell ref="B25:M25"/>
    <mergeCell ref="B24:M24"/>
    <mergeCell ref="A3:A5"/>
    <mergeCell ref="A24:A26"/>
  </mergeCells>
  <phoneticPr fontId="12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80" orientation="landscape" verticalDpi="300" r:id="rId1"/>
  <headerFooter alignWithMargins="0">
    <oddHeader>&amp;L&amp;"Bookman Old Style,Regular"&amp;14&amp;UMagyar Nemzeti Bank</oddHeader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érték</vt:lpstr>
      <vt:lpstr>volumen</vt:lpstr>
      <vt:lpstr>érték!Nyomtatási_terület</vt:lpstr>
      <vt:lpstr>volumen!Nyomtatási_terület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Morvayné Aradi Anna</dc:creator>
  <cp:lastModifiedBy>vegvarig</cp:lastModifiedBy>
  <cp:lastPrinted>2011-10-21T15:46:39Z</cp:lastPrinted>
  <dcterms:created xsi:type="dcterms:W3CDTF">2000-08-23T13:17:18Z</dcterms:created>
  <dcterms:modified xsi:type="dcterms:W3CDTF">2013-04-30T12:26:07Z</dcterms:modified>
</cp:coreProperties>
</file>